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G:\BMS\OCR\Workload Formula\Workload Formula Allocations\2023-24\Need\"/>
    </mc:Choice>
  </mc:AlternateContent>
  <xr:revisionPtr revIDLastSave="0" documentId="13_ncr:1_{684C8804-61C3-4B53-81E0-5C9444CA7497}" xr6:coauthVersionLast="47" xr6:coauthVersionMax="47" xr10:uidLastSave="{00000000-0000-0000-0000-000000000000}"/>
  <bookViews>
    <workbookView xWindow="-28920" yWindow="-1935" windowWidth="29040" windowHeight="17640" tabRatio="798" firstSheet="1" activeTab="1" xr2:uid="{00000000-000D-0000-FFFF-FFFF00000000}"/>
  </bookViews>
  <sheets>
    <sheet name="README" sheetId="142" state="hidden" r:id="rId1"/>
    <sheet name="WF Need" sheetId="41" r:id="rId2"/>
    <sheet name="BLS" sheetId="73" r:id="rId3"/>
    <sheet name="RAS" sheetId="83" r:id="rId4"/>
    <sheet name="AVG RAS salary" sheetId="80" r:id="rId5"/>
    <sheet name="FTE Allotment Factor" sheetId="72" r:id="rId6"/>
    <sheet name="Program 10" sheetId="143" r:id="rId7"/>
    <sheet name="Program 90" sheetId="146" r:id="rId8"/>
    <sheet name="CEO Salary" sheetId="145" r:id="rId9"/>
    <sheet name="OE&amp;E by Cluster" sheetId="147" r:id="rId10"/>
    <sheet name="AB1058" sheetId="148" r:id="rId11"/>
    <sheet name="Floor Adjustment" sheetId="93" state="hidden" r:id="rId12"/>
    <sheet name="Floors" sheetId="74" state="hidden" r:id="rId13"/>
    <sheet name="SUMMARY" sheetId="141"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Qtr1" localSheetId="11">#REF!</definedName>
    <definedName name="__Qtr1" localSheetId="12">#REF!</definedName>
    <definedName name="__Qtr1" localSheetId="7">#REF!</definedName>
    <definedName name="__Qtr1">#REF!</definedName>
    <definedName name="__Qtr2" localSheetId="11">#REF!</definedName>
    <definedName name="__Qtr2" localSheetId="12">#REF!</definedName>
    <definedName name="__Qtr2" localSheetId="7">#REF!</definedName>
    <definedName name="__Qtr2">#REF!</definedName>
    <definedName name="__Qtr3" localSheetId="11">#REF!</definedName>
    <definedName name="__Qtr3" localSheetId="12">#REF!</definedName>
    <definedName name="__Qtr3" localSheetId="7">#REF!</definedName>
    <definedName name="__Qtr3">#REF!</definedName>
    <definedName name="__Qtr4" localSheetId="11">#REF!</definedName>
    <definedName name="__Qtr4" localSheetId="7">#REF!</definedName>
    <definedName name="__Qtr4">#REF!</definedName>
    <definedName name="_xlnm._FilterDatabase" localSheetId="11" hidden="1">'Floor Adjustment'!$I$1:$I$74</definedName>
    <definedName name="_GoBack" localSheetId="3">RAS!$C$67</definedName>
    <definedName name="_Qtr1" localSheetId="11">#REF!</definedName>
    <definedName name="_Qtr1" localSheetId="7">#REF!</definedName>
    <definedName name="_Qtr1">#REF!</definedName>
    <definedName name="_Qtr2" localSheetId="11">#REF!</definedName>
    <definedName name="_Qtr2" localSheetId="7">#REF!</definedName>
    <definedName name="_Qtr2">#REF!</definedName>
    <definedName name="_Qtr3" localSheetId="11">#REF!</definedName>
    <definedName name="_Qtr3" localSheetId="7">#REF!</definedName>
    <definedName name="_Qtr3">#REF!</definedName>
    <definedName name="_Qtr4" localSheetId="11">#REF!</definedName>
    <definedName name="_Qtr4" localSheetId="7">#REF!</definedName>
    <definedName name="_Qtr4">#REF!</definedName>
    <definedName name="a" localSheetId="11">#REF!</definedName>
    <definedName name="a" localSheetId="7">#REF!</definedName>
    <definedName name="a">#REF!</definedName>
    <definedName name="ACCOUNTEDPERIODTYPE1" localSheetId="11">#REF!</definedName>
    <definedName name="ACCOUNTEDPERIODTYPE1" localSheetId="7">#REF!</definedName>
    <definedName name="ACCOUNTEDPERIODTYPE1">#REF!</definedName>
    <definedName name="ACCOUNTSEGMENT1" localSheetId="11">#REF!</definedName>
    <definedName name="ACCOUNTSEGMENT1" localSheetId="7">#REF!</definedName>
    <definedName name="ACCOUNTSEGMENT1">#REF!</definedName>
    <definedName name="APPSUSERNAME1" localSheetId="11">#REF!</definedName>
    <definedName name="APPSUSERNAME1" localSheetId="7">#REF!</definedName>
    <definedName name="APPSUSERNAME1">#REF!</definedName>
    <definedName name="base_fee_adjustment" localSheetId="11">#REF!</definedName>
    <definedName name="base_fee_adjustment" localSheetId="7">#REF!</definedName>
    <definedName name="base_fee_adjustment">#REF!</definedName>
    <definedName name="BUDGETCURRENCYCODE1" localSheetId="11">#REF!</definedName>
    <definedName name="BUDGETCURRENCYCODE1" localSheetId="7">#REF!</definedName>
    <definedName name="BUDGETCURRENCYCODE1">#REF!</definedName>
    <definedName name="BUDGETDECIMALPLACES1" localSheetId="11">#REF!</definedName>
    <definedName name="BUDGETDECIMALPLACES1" localSheetId="7">#REF!</definedName>
    <definedName name="BUDGETDECIMALPLACES1">#REF!</definedName>
    <definedName name="BUDGETENTITYID1" localSheetId="11">#REF!</definedName>
    <definedName name="BUDGETENTITYID1" localSheetId="7">#REF!</definedName>
    <definedName name="BUDGETENTITYID1">#REF!</definedName>
    <definedName name="BUDGETGRAPHCORRESPONDING1" localSheetId="11">#REF!</definedName>
    <definedName name="BUDGETGRAPHCORRESPONDING1" localSheetId="7">#REF!</definedName>
    <definedName name="BUDGETGRAPHCORRESPONDING1">#REF!</definedName>
    <definedName name="BUDGETGRAPHINCACTUALS1" localSheetId="11">#REF!</definedName>
    <definedName name="BUDGETGRAPHINCACTUALS1" localSheetId="7">#REF!</definedName>
    <definedName name="BUDGETGRAPHINCACTUALS1">#REF!</definedName>
    <definedName name="BUDGETGRAPHINCBUDGETS1" localSheetId="11">#REF!</definedName>
    <definedName name="BUDGETGRAPHINCBUDGETS1" localSheetId="7">#REF!</definedName>
    <definedName name="BUDGETGRAPHINCBUDGETS1">#REF!</definedName>
    <definedName name="BUDGETGRAPHINCTITLES1" localSheetId="11">#REF!</definedName>
    <definedName name="BUDGETGRAPHINCTITLES1" localSheetId="7">#REF!</definedName>
    <definedName name="BUDGETGRAPHINCTITLES1">#REF!</definedName>
    <definedName name="BUDGETGRAPHINCVARIANCES1" localSheetId="11">#REF!</definedName>
    <definedName name="BUDGETGRAPHINCVARIANCES1" localSheetId="7">#REF!</definedName>
    <definedName name="BUDGETGRAPHINCVARIANCES1">#REF!</definedName>
    <definedName name="BUDGETGRAPHSTYLE1" localSheetId="11">#REF!</definedName>
    <definedName name="BUDGETGRAPHSTYLE1" localSheetId="7">#REF!</definedName>
    <definedName name="BUDGETGRAPHSTYLE1">#REF!</definedName>
    <definedName name="BUDGETHEADINGSBACKCOLOUR1" localSheetId="11">#REF!</definedName>
    <definedName name="BUDGETHEADINGSBACKCOLOUR1" localSheetId="7">#REF!</definedName>
    <definedName name="BUDGETHEADINGSBACKCOLOUR1">#REF!</definedName>
    <definedName name="BUDGETHEADINGSFORECOLOUR1" localSheetId="11">#REF!</definedName>
    <definedName name="BUDGETHEADINGSFORECOLOUR1" localSheetId="7">#REF!</definedName>
    <definedName name="BUDGETHEADINGSFORECOLOUR1">#REF!</definedName>
    <definedName name="BUDGETNAME1" localSheetId="11">#REF!</definedName>
    <definedName name="BUDGETNAME1" localSheetId="7">#REF!</definedName>
    <definedName name="BUDGETNAME1">#REF!</definedName>
    <definedName name="BUDGETORG1" localSheetId="11">#REF!</definedName>
    <definedName name="BUDGETORG1" localSheetId="7">#REF!</definedName>
    <definedName name="BUDGETORG1">#REF!</definedName>
    <definedName name="BUDGETORGFROZEN1" localSheetId="11">#REF!</definedName>
    <definedName name="BUDGETORGFROZEN1" localSheetId="7">#REF!</definedName>
    <definedName name="BUDGETORGFROZEN1">#REF!</definedName>
    <definedName name="BUDGETOUTPUTOPTION1" localSheetId="11">#REF!</definedName>
    <definedName name="BUDGETOUTPUTOPTION1" localSheetId="7">#REF!</definedName>
    <definedName name="BUDGETOUTPUTOPTION1">#REF!</definedName>
    <definedName name="BUDGETPASSWORDREQUIREDFLAG1" localSheetId="11">#REF!</definedName>
    <definedName name="BUDGETPASSWORDREQUIREDFLAG1" localSheetId="7">#REF!</definedName>
    <definedName name="BUDGETPASSWORDREQUIREDFLAG1">#REF!</definedName>
    <definedName name="BUDGETSHOWCRITERIASHEET1" localSheetId="11">#REF!</definedName>
    <definedName name="BUDGETSHOWCRITERIASHEET1" localSheetId="7">#REF!</definedName>
    <definedName name="BUDGETSHOWCRITERIASHEET1">#REF!</definedName>
    <definedName name="BUDGETSTATUS1" localSheetId="11">#REF!</definedName>
    <definedName name="BUDGETSTATUS1" localSheetId="7">#REF!</definedName>
    <definedName name="BUDGETSTATUS1">#REF!</definedName>
    <definedName name="BUDGETTITLEBACKCOLOUR1" localSheetId="11">#REF!</definedName>
    <definedName name="BUDGETTITLEBACKCOLOUR1" localSheetId="7">#REF!</definedName>
    <definedName name="BUDGETTITLEBACKCOLOUR1">#REF!</definedName>
    <definedName name="BUDGETTITLEBORDERCOLOUR1" localSheetId="11">#REF!</definedName>
    <definedName name="BUDGETTITLEBORDERCOLOUR1" localSheetId="7">#REF!</definedName>
    <definedName name="BUDGETTITLEBORDERCOLOUR1">#REF!</definedName>
    <definedName name="BUDGETTITLEFORECOLOUR1" localSheetId="11">#REF!</definedName>
    <definedName name="BUDGETTITLEFORECOLOUR1" localSheetId="7">#REF!</definedName>
    <definedName name="BUDGETTITLEFORECOLOUR1">#REF!</definedName>
    <definedName name="BUDGETVALUESWIDTH1" localSheetId="11">#REF!</definedName>
    <definedName name="BUDGETVALUESWIDTH1" localSheetId="7">#REF!</definedName>
    <definedName name="BUDGETVALUESWIDTH1">#REF!</definedName>
    <definedName name="BUDGETVERSIONID1" localSheetId="11">#REF!</definedName>
    <definedName name="BUDGETVERSIONID1" localSheetId="7">#REF!</definedName>
    <definedName name="BUDGETVERSIONID1">#REF!</definedName>
    <definedName name="ccid" localSheetId="11">[1]Instructions!#REF!</definedName>
    <definedName name="ccid" localSheetId="12">[1]Instructions!#REF!</definedName>
    <definedName name="ccid" localSheetId="7">[1]Instructions!#REF!</definedName>
    <definedName name="ccid">[1]Instructions!#REF!</definedName>
    <definedName name="CHARTOFACCOUNTSID1" localSheetId="11">#REF!</definedName>
    <definedName name="CHARTOFACCOUNTSID1" localSheetId="7">#REF!</definedName>
    <definedName name="CHARTOFACCOUNTSID1">#REF!</definedName>
    <definedName name="Code">'[2]Combo Box'!$D$2:$D$21</definedName>
    <definedName name="CONNECTSTRING1" localSheetId="11">#REF!</definedName>
    <definedName name="CONNECTSTRING1" localSheetId="7">#REF!</definedName>
    <definedName name="CONNECTSTRING1">#REF!</definedName>
    <definedName name="Copy_Area" localSheetId="11">#REF!</definedName>
    <definedName name="Copy_Area" localSheetId="7">#REF!</definedName>
    <definedName name="Copy_Area">#REF!</definedName>
    <definedName name="Court">'[2]Combo Box'!$B$2:$B$60</definedName>
    <definedName name="CourtList">[3]Code!$B$1:$B$59</definedName>
    <definedName name="CREATEGRAPH1" localSheetId="11">#REF!</definedName>
    <definedName name="CREATEGRAPH1" localSheetId="7">#REF!</definedName>
    <definedName name="CREATEGRAPH1">#REF!</definedName>
    <definedName name="Data" localSheetId="11">#REF!</definedName>
    <definedName name="Data" localSheetId="7">#REF!</definedName>
    <definedName name="Data">#REF!</definedName>
    <definedName name="DBNAME1" localSheetId="11">#REF!</definedName>
    <definedName name="DBNAME1" localSheetId="7">#REF!</definedName>
    <definedName name="DBNAME1">#REF!</definedName>
    <definedName name="DBUSERNAME1" localSheetId="11">#REF!</definedName>
    <definedName name="DBUSERNAME1" localSheetId="7">#REF!</definedName>
    <definedName name="DBUSERNAME1">#REF!</definedName>
    <definedName name="DELETELOGICTYPE1" localSheetId="11">#REF!</definedName>
    <definedName name="DELETELOGICTYPE1" localSheetId="7">#REF!</definedName>
    <definedName name="DELETELOGICTYPE1">#REF!</definedName>
    <definedName name="ENDPERIODNAME1" localSheetId="11">#REF!</definedName>
    <definedName name="ENDPERIODNAME1" localSheetId="7">#REF!</definedName>
    <definedName name="ENDPERIODNAME1">#REF!</definedName>
    <definedName name="ENDPERIODNUM1" localSheetId="11">#REF!</definedName>
    <definedName name="ENDPERIODNUM1" localSheetId="7">#REF!</definedName>
    <definedName name="ENDPERIODNUM1">#REF!</definedName>
    <definedName name="ENDPERIODYEAR1" localSheetId="11">#REF!</definedName>
    <definedName name="ENDPERIODYEAR1" localSheetId="7">#REF!</definedName>
    <definedName name="ENDPERIODYEAR1">#REF!</definedName>
    <definedName name="exp">[4]expenditure!$A$5:$G$62</definedName>
    <definedName name="FFAPPCOLNAME1_1" localSheetId="11">#REF!</definedName>
    <definedName name="FFAPPCOLNAME1_1" localSheetId="7">#REF!</definedName>
    <definedName name="FFAPPCOLNAME1_1">#REF!</definedName>
    <definedName name="FFAPPCOLNAME2_1" localSheetId="11">#REF!</definedName>
    <definedName name="FFAPPCOLNAME2_1" localSheetId="7">#REF!</definedName>
    <definedName name="FFAPPCOLNAME2_1">#REF!</definedName>
    <definedName name="FFAPPCOLNAME3_1" localSheetId="11">#REF!</definedName>
    <definedName name="FFAPPCOLNAME3_1" localSheetId="7">#REF!</definedName>
    <definedName name="FFAPPCOLNAME3_1">#REF!</definedName>
    <definedName name="FFAPPCOLNAME4_1" localSheetId="11">#REF!</definedName>
    <definedName name="FFAPPCOLNAME4_1" localSheetId="7">#REF!</definedName>
    <definedName name="FFAPPCOLNAME4_1">#REF!</definedName>
    <definedName name="FFAPPCOLNAME5_1" localSheetId="11">#REF!</definedName>
    <definedName name="FFAPPCOLNAME5_1" localSheetId="7">#REF!</definedName>
    <definedName name="FFAPPCOLNAME5_1">#REF!</definedName>
    <definedName name="FFAPPCOLNAME6_1" localSheetId="11">#REF!</definedName>
    <definedName name="FFAPPCOLNAME6_1" localSheetId="7">#REF!</definedName>
    <definedName name="FFAPPCOLNAME6_1">#REF!</definedName>
    <definedName name="FFAPPCOLNAME7_1" localSheetId="11">#REF!</definedName>
    <definedName name="FFAPPCOLNAME7_1" localSheetId="7">#REF!</definedName>
    <definedName name="FFAPPCOLNAME7_1">#REF!</definedName>
    <definedName name="FFAPPCOLNAME8_1" localSheetId="11">#REF!</definedName>
    <definedName name="FFAPPCOLNAME8_1" localSheetId="7">#REF!</definedName>
    <definedName name="FFAPPCOLNAME8_1">#REF!</definedName>
    <definedName name="FFSEGDESC1_1" localSheetId="11">#REF!</definedName>
    <definedName name="FFSEGDESC1_1" localSheetId="7">#REF!</definedName>
    <definedName name="FFSEGDESC1_1">#REF!</definedName>
    <definedName name="FFSEGDESC2_1" localSheetId="11">#REF!</definedName>
    <definedName name="FFSEGDESC2_1" localSheetId="7">#REF!</definedName>
    <definedName name="FFSEGDESC2_1">#REF!</definedName>
    <definedName name="FFSEGDESC3_1" localSheetId="11">#REF!</definedName>
    <definedName name="FFSEGDESC3_1" localSheetId="7">#REF!</definedName>
    <definedName name="FFSEGDESC3_1">#REF!</definedName>
    <definedName name="FFSEGDESC4_1" localSheetId="11">#REF!</definedName>
    <definedName name="FFSEGDESC4_1" localSheetId="7">#REF!</definedName>
    <definedName name="FFSEGDESC4_1">#REF!</definedName>
    <definedName name="FFSEGDESC5_1" localSheetId="11">#REF!</definedName>
    <definedName name="FFSEGDESC5_1" localSheetId="7">#REF!</definedName>
    <definedName name="FFSEGDESC5_1">#REF!</definedName>
    <definedName name="FFSEGDESC6_1" localSheetId="11">#REF!</definedName>
    <definedName name="FFSEGDESC6_1" localSheetId="7">#REF!</definedName>
    <definedName name="FFSEGDESC6_1">#REF!</definedName>
    <definedName name="FFSEGDESC7_1" localSheetId="11">#REF!</definedName>
    <definedName name="FFSEGDESC7_1" localSheetId="7">#REF!</definedName>
    <definedName name="FFSEGDESC7_1">#REF!</definedName>
    <definedName name="FFSEGDESC8_1" localSheetId="11">#REF!</definedName>
    <definedName name="FFSEGDESC8_1" localSheetId="7">#REF!</definedName>
    <definedName name="FFSEGDESC8_1">#REF!</definedName>
    <definedName name="FFSEGMENT1_1" localSheetId="11">#REF!</definedName>
    <definedName name="FFSEGMENT1_1" localSheetId="7">#REF!</definedName>
    <definedName name="FFSEGMENT1_1">#REF!</definedName>
    <definedName name="FFSEGMENT2_1" localSheetId="11">#REF!</definedName>
    <definedName name="FFSEGMENT2_1" localSheetId="7">#REF!</definedName>
    <definedName name="FFSEGMENT2_1">#REF!</definedName>
    <definedName name="FFSEGMENT3_1" localSheetId="11">#REF!</definedName>
    <definedName name="FFSEGMENT3_1" localSheetId="7">#REF!</definedName>
    <definedName name="FFSEGMENT3_1">#REF!</definedName>
    <definedName name="FFSEGMENT4_1" localSheetId="11">#REF!</definedName>
    <definedName name="FFSEGMENT4_1" localSheetId="7">#REF!</definedName>
    <definedName name="FFSEGMENT4_1">#REF!</definedName>
    <definedName name="FFSEGMENT5_1" localSheetId="11">#REF!</definedName>
    <definedName name="FFSEGMENT5_1" localSheetId="7">#REF!</definedName>
    <definedName name="FFSEGMENT5_1">#REF!</definedName>
    <definedName name="FFSEGMENT6_1" localSheetId="11">#REF!</definedName>
    <definedName name="FFSEGMENT6_1" localSheetId="7">#REF!</definedName>
    <definedName name="FFSEGMENT6_1">#REF!</definedName>
    <definedName name="FFSEGMENT7_1" localSheetId="11">#REF!</definedName>
    <definedName name="FFSEGMENT7_1" localSheetId="7">#REF!</definedName>
    <definedName name="FFSEGMENT7_1">#REF!</definedName>
    <definedName name="FFSEGMENT8_1" localSheetId="11">#REF!</definedName>
    <definedName name="FFSEGMENT8_1" localSheetId="7">#REF!</definedName>
    <definedName name="FFSEGMENT8_1">#REF!</definedName>
    <definedName name="FFSEGSEPARATOR1" localSheetId="11">#REF!</definedName>
    <definedName name="FFSEGSEPARATOR1" localSheetId="7">#REF!</definedName>
    <definedName name="FFSEGSEPARATOR1">#REF!</definedName>
    <definedName name="FiscalYear">'[2]Combo Box'!$C$2:$C$9</definedName>
    <definedName name="FNDNAM1" localSheetId="11">#REF!</definedName>
    <definedName name="FNDNAM1" localSheetId="7">#REF!</definedName>
    <definedName name="FNDNAM1">#REF!</definedName>
    <definedName name="FNDUSERID1" localSheetId="11">#REF!</definedName>
    <definedName name="FNDUSERID1" localSheetId="7">#REF!</definedName>
    <definedName name="FNDUSERID1">#REF!</definedName>
    <definedName name="fte" localSheetId="11">#REF!</definedName>
    <definedName name="fte" localSheetId="7">#REF!</definedName>
    <definedName name="fte">#REF!</definedName>
    <definedName name="FUND">'[2]Combo Box'!$A$2:$A$5</definedName>
    <definedName name="GWYUID1" localSheetId="11">#REF!</definedName>
    <definedName name="GWYUID1" localSheetId="7">#REF!</definedName>
    <definedName name="GWYUID1">#REF!</definedName>
    <definedName name="huntington" localSheetId="11">#REF!</definedName>
    <definedName name="huntington" localSheetId="7">#REF!</definedName>
    <definedName name="huntington">#REF!</definedName>
    <definedName name="Jeff___TC145B11" localSheetId="7">#REF!</definedName>
    <definedName name="Jeff___TC145B11">#REF!</definedName>
    <definedName name="Jeff___TC145B11_QueryA" localSheetId="7">#REF!</definedName>
    <definedName name="Jeff___TC145B11_QueryA">#REF!</definedName>
    <definedName name="Jeff_121511a" localSheetId="7">#REF!</definedName>
    <definedName name="Jeff_121511a">#REF!</definedName>
    <definedName name="method2" localSheetId="11">#REF!</definedName>
    <definedName name="method2" localSheetId="7">#REF!</definedName>
    <definedName name="method2">#REF!</definedName>
    <definedName name="NOOFFFSEGMENTS1" localSheetId="11">#REF!</definedName>
    <definedName name="NOOFFFSEGMENTS1" localSheetId="7">#REF!</definedName>
    <definedName name="NOOFFFSEGMENTS1">#REF!</definedName>
    <definedName name="NOOFPERIODS1" localSheetId="11">#REF!</definedName>
    <definedName name="NOOFPERIODS1" localSheetId="7">#REF!</definedName>
    <definedName name="NOOFPERIODS1">#REF!</definedName>
    <definedName name="oee">[4]OEE!$B$4:$C$7</definedName>
    <definedName name="oee_all">[4]OEE!$B$45:$C$48</definedName>
    <definedName name="oee_noneed">[4]OEE!$B$12:$C$15</definedName>
    <definedName name="PERIODSETNAME1" localSheetId="11">#REF!</definedName>
    <definedName name="PERIODSETNAME1" localSheetId="7">#REF!</definedName>
    <definedName name="PERIODSETNAME1">#REF!</definedName>
    <definedName name="PERIODYEAR1" localSheetId="11">#REF!</definedName>
    <definedName name="PERIODYEAR1" localSheetId="7">#REF!</definedName>
    <definedName name="PERIODYEAR1">#REF!</definedName>
    <definedName name="_xlnm.Print_Area" localSheetId="4">'AVG RAS salary'!$A$1:$H$69</definedName>
    <definedName name="_xlnm.Print_Area" localSheetId="2">BLS!$A$1:$I$66</definedName>
    <definedName name="_xlnm.Print_Area" localSheetId="11">'Floor Adjustment'!$A$1:$M$65</definedName>
    <definedName name="_xlnm.Print_Area" localSheetId="12">Floors!$A$1:$G$3</definedName>
    <definedName name="_xlnm.Print_Area" localSheetId="5">'FTE Allotment Factor'!$A$1:$H$70</definedName>
    <definedName name="_xlnm.Print_Area" localSheetId="3">RAS!$A$1:$S$69</definedName>
    <definedName name="Print_Area_MI" localSheetId="11">#REF!</definedName>
    <definedName name="Print_Area_MI" localSheetId="7">#REF!</definedName>
    <definedName name="Print_Area_MI">#REF!</definedName>
    <definedName name="_xlnm.Print_Titles" localSheetId="11">'Floor Adjustment'!$A:$B,'Floor Adjustment'!$4:$5</definedName>
    <definedName name="_xlnm.Print_Titles" localSheetId="5">'FTE Allotment Factor'!$1:$6</definedName>
    <definedName name="_xlnm.Print_Titles" localSheetId="1">'WF Need'!$A:$B,'WF Need'!$4:$6</definedName>
    <definedName name="q" localSheetId="7">'[5]TC145 Template 20140101'!#REF!</definedName>
    <definedName name="q">'[5]TC145 Template 20140101'!#REF!</definedName>
    <definedName name="QtrAll" localSheetId="11">#REF!</definedName>
    <definedName name="QtrAll" localSheetId="12">#REF!</definedName>
    <definedName name="QtrAll" localSheetId="7">#REF!</definedName>
    <definedName name="QtrAll">#REF!</definedName>
    <definedName name="READONLYBACKCOLOUR1" localSheetId="11">#REF!</definedName>
    <definedName name="READONLYBACKCOLOUR1" localSheetId="12">#REF!</definedName>
    <definedName name="READONLYBACKCOLOUR1" localSheetId="7">#REF!</definedName>
    <definedName name="READONLYBACKCOLOUR1">#REF!</definedName>
    <definedName name="READWRITEBACKCOLOUR1" localSheetId="11">#REF!</definedName>
    <definedName name="READWRITEBACKCOLOUR1" localSheetId="7">#REF!</definedName>
    <definedName name="READWRITEBACKCOLOUR1">#REF!</definedName>
    <definedName name="Recover">[6]Macro1!$A$76</definedName>
    <definedName name="ReductionType">'[7]Combo Box'!$A$2:$A$5</definedName>
    <definedName name="REQUIREBUDGETJOURNALSFLAG1" localSheetId="11">#REF!</definedName>
    <definedName name="REQUIREBUDGETJOURNALSFLAG1" localSheetId="12">#REF!</definedName>
    <definedName name="REQUIREBUDGETJOURNALSFLAG1" localSheetId="7">#REF!</definedName>
    <definedName name="REQUIREBUDGETJOURNALSFLAG1">#REF!</definedName>
    <definedName name="RESPONSIBILITYAPPLICATIONID1" localSheetId="11">#REF!</definedName>
    <definedName name="RESPONSIBILITYAPPLICATIONID1" localSheetId="12">#REF!</definedName>
    <definedName name="RESPONSIBILITYAPPLICATIONID1" localSheetId="7">#REF!</definedName>
    <definedName name="RESPONSIBILITYAPPLICATIONID1">#REF!</definedName>
    <definedName name="RESPONSIBILITYID1" localSheetId="11">#REF!</definedName>
    <definedName name="RESPONSIBILITYID1" localSheetId="12">#REF!</definedName>
    <definedName name="RESPONSIBILITYID1" localSheetId="7">#REF!</definedName>
    <definedName name="RESPONSIBILITYID1">#REF!</definedName>
    <definedName name="RESPONSIBILITYNAME1" localSheetId="11">#REF!</definedName>
    <definedName name="RESPONSIBILITYNAME1" localSheetId="7">#REF!</definedName>
    <definedName name="RESPONSIBILITYNAME1">#REF!</definedName>
    <definedName name="ROWSTOUPLOAD1" localSheetId="11">#REF!</definedName>
    <definedName name="ROWSTOUPLOAD1" localSheetId="7">#REF!</definedName>
    <definedName name="ROWSTOUPLOAD1">#REF!</definedName>
    <definedName name="SEG1_DIRECTION1" localSheetId="11">#REF!</definedName>
    <definedName name="SEG1_DIRECTION1" localSheetId="7">#REF!</definedName>
    <definedName name="SEG1_DIRECTION1">#REF!</definedName>
    <definedName name="SEG1_FROM1" localSheetId="11">#REF!</definedName>
    <definedName name="SEG1_FROM1" localSheetId="7">#REF!</definedName>
    <definedName name="SEG1_FROM1">#REF!</definedName>
    <definedName name="SEG1_SORT1" localSheetId="11">#REF!</definedName>
    <definedName name="SEG1_SORT1" localSheetId="7">#REF!</definedName>
    <definedName name="SEG1_SORT1">#REF!</definedName>
    <definedName name="SEG1_TO1" localSheetId="11">#REF!</definedName>
    <definedName name="SEG1_TO1" localSheetId="7">#REF!</definedName>
    <definedName name="SEG1_TO1">#REF!</definedName>
    <definedName name="SEG2_DIRECTION1" localSheetId="11">#REF!</definedName>
    <definedName name="SEG2_DIRECTION1" localSheetId="7">#REF!</definedName>
    <definedName name="SEG2_DIRECTION1">#REF!</definedName>
    <definedName name="SEG2_FROM1" localSheetId="11">#REF!</definedName>
    <definedName name="SEG2_FROM1" localSheetId="7">#REF!</definedName>
    <definedName name="SEG2_FROM1">#REF!</definedName>
    <definedName name="SEG2_SORT1" localSheetId="11">#REF!</definedName>
    <definedName name="SEG2_SORT1" localSheetId="7">#REF!</definedName>
    <definedName name="SEG2_SORT1">#REF!</definedName>
    <definedName name="SEG2_TO1" localSheetId="11">#REF!</definedName>
    <definedName name="SEG2_TO1" localSheetId="7">#REF!</definedName>
    <definedName name="SEG2_TO1">#REF!</definedName>
    <definedName name="SEG3_DIRECTION1" localSheetId="11">#REF!</definedName>
    <definedName name="SEG3_DIRECTION1" localSheetId="7">#REF!</definedName>
    <definedName name="SEG3_DIRECTION1">#REF!</definedName>
    <definedName name="SEG3_FROM1" localSheetId="11">#REF!</definedName>
    <definedName name="SEG3_FROM1" localSheetId="7">#REF!</definedName>
    <definedName name="SEG3_FROM1">#REF!</definedName>
    <definedName name="SEG3_SORT1" localSheetId="11">#REF!</definedName>
    <definedName name="SEG3_SORT1" localSheetId="7">#REF!</definedName>
    <definedName name="SEG3_SORT1">#REF!</definedName>
    <definedName name="SEG3_TO1" localSheetId="11">#REF!</definedName>
    <definedName name="SEG3_TO1" localSheetId="7">#REF!</definedName>
    <definedName name="SEG3_TO1">#REF!</definedName>
    <definedName name="SEG4_DIRECTION1" localSheetId="11">#REF!</definedName>
    <definedName name="SEG4_DIRECTION1" localSheetId="7">#REF!</definedName>
    <definedName name="SEG4_DIRECTION1">#REF!</definedName>
    <definedName name="SEG4_FROM1" localSheetId="11">#REF!</definedName>
    <definedName name="SEG4_FROM1" localSheetId="7">#REF!</definedName>
    <definedName name="SEG4_FROM1">#REF!</definedName>
    <definedName name="SEG4_SORT1" localSheetId="11">#REF!</definedName>
    <definedName name="SEG4_SORT1" localSheetId="7">#REF!</definedName>
    <definedName name="SEG4_SORT1">#REF!</definedName>
    <definedName name="SEG4_TO1" localSheetId="11">#REF!</definedName>
    <definedName name="SEG4_TO1" localSheetId="7">#REF!</definedName>
    <definedName name="SEG4_TO1">#REF!</definedName>
    <definedName name="SEG5_DIRECTION1" localSheetId="11">#REF!</definedName>
    <definedName name="SEG5_DIRECTION1" localSheetId="7">#REF!</definedName>
    <definedName name="SEG5_DIRECTION1">#REF!</definedName>
    <definedName name="SEG5_FROM1" localSheetId="11">#REF!</definedName>
    <definedName name="SEG5_FROM1" localSheetId="7">#REF!</definedName>
    <definedName name="SEG5_FROM1">#REF!</definedName>
    <definedName name="SEG5_SORT1" localSheetId="11">#REF!</definedName>
    <definedName name="SEG5_SORT1" localSheetId="7">#REF!</definedName>
    <definedName name="SEG5_SORT1">#REF!</definedName>
    <definedName name="SEG5_TO1" localSheetId="11">#REF!</definedName>
    <definedName name="SEG5_TO1" localSheetId="7">#REF!</definedName>
    <definedName name="SEG5_TO1">#REF!</definedName>
    <definedName name="SEG6_DIRECTION1" localSheetId="11">#REF!</definedName>
    <definedName name="SEG6_DIRECTION1" localSheetId="7">#REF!</definedName>
    <definedName name="SEG6_DIRECTION1">#REF!</definedName>
    <definedName name="SEG6_FROM1" localSheetId="11">#REF!</definedName>
    <definedName name="SEG6_FROM1" localSheetId="7">#REF!</definedName>
    <definedName name="SEG6_FROM1">#REF!</definedName>
    <definedName name="SEG6_SORT1" localSheetId="11">#REF!</definedName>
    <definedName name="SEG6_SORT1" localSheetId="7">#REF!</definedName>
    <definedName name="SEG6_SORT1">#REF!</definedName>
    <definedName name="SEG6_TO1" localSheetId="11">#REF!</definedName>
    <definedName name="SEG6_TO1" localSheetId="7">#REF!</definedName>
    <definedName name="SEG6_TO1">#REF!</definedName>
    <definedName name="SEG7_DIRECTION1" localSheetId="11">#REF!</definedName>
    <definedName name="SEG7_DIRECTION1" localSheetId="7">#REF!</definedName>
    <definedName name="SEG7_DIRECTION1">#REF!</definedName>
    <definedName name="SEG7_FROM1" localSheetId="11">#REF!</definedName>
    <definedName name="SEG7_FROM1" localSheetId="7">#REF!</definedName>
    <definedName name="SEG7_FROM1">#REF!</definedName>
    <definedName name="SEG7_SORT1" localSheetId="11">#REF!</definedName>
    <definedName name="SEG7_SORT1" localSheetId="7">#REF!</definedName>
    <definedName name="SEG7_SORT1">#REF!</definedName>
    <definedName name="SEG7_TO1" localSheetId="11">#REF!</definedName>
    <definedName name="SEG7_TO1" localSheetId="7">#REF!</definedName>
    <definedName name="SEG7_TO1">#REF!</definedName>
    <definedName name="SEG8_DIRECTION1" localSheetId="11">#REF!</definedName>
    <definedName name="SEG8_DIRECTION1" localSheetId="7">#REF!</definedName>
    <definedName name="SEG8_DIRECTION1">#REF!</definedName>
    <definedName name="SEG8_FROM1" localSheetId="11">#REF!</definedName>
    <definedName name="SEG8_FROM1" localSheetId="7">#REF!</definedName>
    <definedName name="SEG8_FROM1">#REF!</definedName>
    <definedName name="SEG8_SORT1" localSheetId="11">#REF!</definedName>
    <definedName name="SEG8_SORT1" localSheetId="7">#REF!</definedName>
    <definedName name="SEG8_SORT1">#REF!</definedName>
    <definedName name="SEG8_TO1" localSheetId="11">#REF!</definedName>
    <definedName name="SEG8_TO1" localSheetId="7">#REF!</definedName>
    <definedName name="SEG8_TO1">#REF!</definedName>
    <definedName name="SETOFBOOKSID1" localSheetId="11">#REF!</definedName>
    <definedName name="SETOFBOOKSID1" localSheetId="7">#REF!</definedName>
    <definedName name="SETOFBOOKSID1">#REF!</definedName>
    <definedName name="SETOFBOOKSNAME1" localSheetId="11">#REF!</definedName>
    <definedName name="SETOFBOOKSNAME1" localSheetId="7">#REF!</definedName>
    <definedName name="SETOFBOOKSNAME1">#REF!</definedName>
    <definedName name="STARTBUDGETPOST1" localSheetId="11">#REF!</definedName>
    <definedName name="STARTBUDGETPOST1" localSheetId="7">#REF!</definedName>
    <definedName name="STARTBUDGETPOST1">#REF!</definedName>
    <definedName name="STARTPERIODNAME1" localSheetId="11">#REF!</definedName>
    <definedName name="STARTPERIODNAME1" localSheetId="7">#REF!</definedName>
    <definedName name="STARTPERIODNAME1">#REF!</definedName>
    <definedName name="STARTPERIODNUM1" localSheetId="11">#REF!</definedName>
    <definedName name="STARTPERIODNUM1" localSheetId="7">#REF!</definedName>
    <definedName name="STARTPERIODNUM1">#REF!</definedName>
    <definedName name="STARTPERIODYEAR1" localSheetId="11">#REF!</definedName>
    <definedName name="STARTPERIODYEAR1" localSheetId="7">#REF!</definedName>
    <definedName name="STARTPERIODYEAR1">#REF!</definedName>
    <definedName name="SuperiorCourt">'[8]TC-145 Template'!$W$1</definedName>
    <definedName name="TableName">"Dummy"</definedName>
    <definedName name="UPDATELOGICTYPE1" localSheetId="11">#REF!</definedName>
    <definedName name="UPDATELOGICTYPE1" localSheetId="7">#REF!</definedName>
    <definedName name="UPDATELOGICTYPE1">#REF!</definedName>
    <definedName name="xxx">[9]Code!$F$1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6" i="80" l="1"/>
  <c r="B65" i="146"/>
  <c r="B67" i="146"/>
  <c r="E57" i="148"/>
  <c r="E50" i="148"/>
  <c r="E6" i="148"/>
  <c r="C63" i="148"/>
  <c r="Q65" i="83"/>
  <c r="L65" i="83"/>
  <c r="Q7" i="41"/>
  <c r="D7" i="41"/>
  <c r="N3" i="141"/>
  <c r="M3" i="141"/>
  <c r="E4" i="141"/>
  <c r="E5" i="141"/>
  <c r="E6" i="141"/>
  <c r="E7" i="141"/>
  <c r="E8" i="141"/>
  <c r="E9" i="141"/>
  <c r="E10" i="141"/>
  <c r="E11" i="141"/>
  <c r="E12" i="141"/>
  <c r="E13" i="141"/>
  <c r="E14" i="141"/>
  <c r="E15" i="141"/>
  <c r="E16" i="141"/>
  <c r="E17" i="141"/>
  <c r="E18" i="141"/>
  <c r="E19" i="141"/>
  <c r="E20" i="141"/>
  <c r="E21" i="141"/>
  <c r="E22" i="141"/>
  <c r="E23" i="141"/>
  <c r="E24" i="141"/>
  <c r="E25" i="141"/>
  <c r="E26" i="141"/>
  <c r="E27" i="141"/>
  <c r="E28" i="141"/>
  <c r="E29" i="141"/>
  <c r="E30" i="141"/>
  <c r="E31" i="141"/>
  <c r="E32" i="141"/>
  <c r="E33" i="141"/>
  <c r="E34" i="141"/>
  <c r="E35" i="141"/>
  <c r="E36" i="141"/>
  <c r="E37" i="141"/>
  <c r="E38" i="141"/>
  <c r="E39" i="141"/>
  <c r="E40" i="141"/>
  <c r="E41" i="141"/>
  <c r="E42" i="141"/>
  <c r="E43" i="141"/>
  <c r="E44" i="141"/>
  <c r="E45" i="141"/>
  <c r="E46" i="141"/>
  <c r="E47" i="141"/>
  <c r="E48" i="141"/>
  <c r="E49" i="141"/>
  <c r="E50" i="141"/>
  <c r="E51" i="141"/>
  <c r="E52" i="141"/>
  <c r="E53" i="141"/>
  <c r="E54" i="141"/>
  <c r="E55" i="141"/>
  <c r="E56" i="141"/>
  <c r="E57" i="141"/>
  <c r="E58" i="141"/>
  <c r="E59" i="141"/>
  <c r="E60" i="141"/>
  <c r="E61" i="141"/>
  <c r="E3" i="141"/>
  <c r="J3" i="141"/>
  <c r="I7" i="145"/>
  <c r="E65" i="145"/>
  <c r="D65" i="145"/>
  <c r="D67" i="145"/>
  <c r="K7" i="41"/>
  <c r="M65" i="83"/>
  <c r="E5" i="148"/>
  <c r="E7" i="148"/>
  <c r="AA9" i="41"/>
  <c r="E17" i="148"/>
  <c r="AA19" i="41"/>
  <c r="H7" i="145"/>
  <c r="K8" i="41"/>
  <c r="I13" i="145"/>
  <c r="I11" i="145"/>
  <c r="I9" i="145"/>
  <c r="C65" i="146"/>
  <c r="C67" i="146"/>
  <c r="D65" i="146"/>
  <c r="D67" i="146"/>
  <c r="E65" i="146"/>
  <c r="E67" i="146"/>
  <c r="C65" i="143"/>
  <c r="C67" i="143"/>
  <c r="D65" i="143"/>
  <c r="D67" i="143"/>
  <c r="E65" i="143"/>
  <c r="B65" i="143"/>
  <c r="B67" i="143"/>
  <c r="H11" i="145"/>
  <c r="K55" i="41"/>
  <c r="H13" i="145"/>
  <c r="H9" i="145"/>
  <c r="E7" i="41"/>
  <c r="F7" i="41"/>
  <c r="C6" i="72"/>
  <c r="C6" i="80"/>
  <c r="D6" i="80"/>
  <c r="C7" i="80"/>
  <c r="F7" i="80"/>
  <c r="D7" i="80"/>
  <c r="C8" i="80"/>
  <c r="D8" i="80"/>
  <c r="C9" i="80"/>
  <c r="D9" i="80"/>
  <c r="C10" i="80"/>
  <c r="D10" i="80"/>
  <c r="C11" i="80"/>
  <c r="F11" i="80"/>
  <c r="D11" i="80"/>
  <c r="C12" i="80"/>
  <c r="D12" i="80"/>
  <c r="C13" i="80"/>
  <c r="D13" i="80"/>
  <c r="C14" i="80"/>
  <c r="D14" i="80"/>
  <c r="C15" i="80"/>
  <c r="F15" i="80"/>
  <c r="D15" i="80"/>
  <c r="C16" i="80"/>
  <c r="D16" i="80"/>
  <c r="C17" i="80"/>
  <c r="F17" i="80"/>
  <c r="D17" i="80"/>
  <c r="C18" i="80"/>
  <c r="D18" i="80"/>
  <c r="C19" i="80"/>
  <c r="D19" i="80"/>
  <c r="C20" i="80"/>
  <c r="D20" i="80"/>
  <c r="C21" i="80"/>
  <c r="F21" i="80"/>
  <c r="D21" i="80"/>
  <c r="C22" i="80"/>
  <c r="D22" i="80"/>
  <c r="C23" i="80"/>
  <c r="D23" i="80"/>
  <c r="C24" i="80"/>
  <c r="D24" i="80"/>
  <c r="F24" i="80"/>
  <c r="C25" i="80"/>
  <c r="D25" i="80"/>
  <c r="C26" i="80"/>
  <c r="D26" i="80"/>
  <c r="C27" i="80"/>
  <c r="F27" i="80"/>
  <c r="D27" i="80"/>
  <c r="C28" i="80"/>
  <c r="D28" i="80"/>
  <c r="F28" i="80"/>
  <c r="C29" i="80"/>
  <c r="F29" i="80"/>
  <c r="D29" i="80"/>
  <c r="C30" i="80"/>
  <c r="D30" i="80"/>
  <c r="F30" i="80"/>
  <c r="C31" i="80"/>
  <c r="D31" i="80"/>
  <c r="F31" i="80"/>
  <c r="C32" i="80"/>
  <c r="D32" i="80"/>
  <c r="C33" i="80"/>
  <c r="D33" i="80"/>
  <c r="F33" i="80"/>
  <c r="C34" i="80"/>
  <c r="D34" i="80"/>
  <c r="F34" i="80"/>
  <c r="C35" i="80"/>
  <c r="F35" i="80"/>
  <c r="D35" i="80"/>
  <c r="C36" i="80"/>
  <c r="D36" i="80"/>
  <c r="F36" i="80"/>
  <c r="C37" i="80"/>
  <c r="F37" i="80"/>
  <c r="D37" i="80"/>
  <c r="C38" i="80"/>
  <c r="D38" i="80"/>
  <c r="C39" i="80"/>
  <c r="D39" i="80"/>
  <c r="C40" i="80"/>
  <c r="D40" i="80"/>
  <c r="F40" i="80"/>
  <c r="C41" i="80"/>
  <c r="D41" i="80"/>
  <c r="C42" i="80"/>
  <c r="D42" i="80"/>
  <c r="C43" i="80"/>
  <c r="F43" i="80"/>
  <c r="D43" i="80"/>
  <c r="C44" i="80"/>
  <c r="D44" i="80"/>
  <c r="C45" i="80"/>
  <c r="D45" i="80"/>
  <c r="C46" i="80"/>
  <c r="D46" i="80"/>
  <c r="C47" i="80"/>
  <c r="F47" i="80"/>
  <c r="D47" i="80"/>
  <c r="C48" i="80"/>
  <c r="D48" i="80"/>
  <c r="C49" i="80"/>
  <c r="F49" i="80"/>
  <c r="D49" i="80"/>
  <c r="C50" i="80"/>
  <c r="D50" i="80"/>
  <c r="C51" i="80"/>
  <c r="D51" i="80"/>
  <c r="C52" i="80"/>
  <c r="D52" i="80"/>
  <c r="C53" i="80"/>
  <c r="F53" i="80"/>
  <c r="D53" i="80"/>
  <c r="C54" i="80"/>
  <c r="D54" i="80"/>
  <c r="C55" i="80"/>
  <c r="D55" i="80"/>
  <c r="C56" i="80"/>
  <c r="D56" i="80"/>
  <c r="C57" i="80"/>
  <c r="D57" i="80"/>
  <c r="C58" i="80"/>
  <c r="D58" i="80"/>
  <c r="C59" i="80"/>
  <c r="D59" i="80"/>
  <c r="C60" i="80"/>
  <c r="D60" i="80"/>
  <c r="C61" i="80"/>
  <c r="D61" i="80"/>
  <c r="C62" i="80"/>
  <c r="D62" i="80"/>
  <c r="C63" i="80"/>
  <c r="D63" i="80"/>
  <c r="E6" i="72"/>
  <c r="F6" i="72"/>
  <c r="K6" i="72"/>
  <c r="E8" i="41"/>
  <c r="D8" i="41"/>
  <c r="C7" i="72"/>
  <c r="E9" i="41"/>
  <c r="D9" i="41"/>
  <c r="F9" i="41"/>
  <c r="E8" i="72"/>
  <c r="F8" i="72"/>
  <c r="C8" i="72"/>
  <c r="E10" i="41"/>
  <c r="D10" i="41"/>
  <c r="C9" i="72"/>
  <c r="E11" i="41"/>
  <c r="D11" i="41"/>
  <c r="C10" i="72"/>
  <c r="E12" i="41"/>
  <c r="F12" i="41"/>
  <c r="D12" i="41"/>
  <c r="C11" i="72"/>
  <c r="E13" i="41"/>
  <c r="D13" i="41"/>
  <c r="F13" i="41"/>
  <c r="E12" i="72"/>
  <c r="F12" i="72"/>
  <c r="C12" i="72"/>
  <c r="E14" i="41"/>
  <c r="D14" i="41"/>
  <c r="C13" i="72"/>
  <c r="E15" i="41"/>
  <c r="D15" i="41"/>
  <c r="C14" i="72"/>
  <c r="E16" i="41"/>
  <c r="F16" i="41"/>
  <c r="D16" i="41"/>
  <c r="C15" i="72"/>
  <c r="E17" i="41"/>
  <c r="D17" i="41"/>
  <c r="C16" i="72"/>
  <c r="E18" i="41"/>
  <c r="D18" i="41"/>
  <c r="C17" i="72"/>
  <c r="E19" i="41"/>
  <c r="D19" i="41"/>
  <c r="C18" i="72"/>
  <c r="E20" i="41"/>
  <c r="F20" i="41"/>
  <c r="D20" i="41"/>
  <c r="C19" i="72"/>
  <c r="E21" i="41"/>
  <c r="D21" i="41"/>
  <c r="C20" i="72"/>
  <c r="E22" i="41"/>
  <c r="D22" i="41"/>
  <c r="C21" i="72"/>
  <c r="E23" i="41"/>
  <c r="D23" i="41"/>
  <c r="C22" i="72"/>
  <c r="E24" i="41"/>
  <c r="F24" i="41"/>
  <c r="D24" i="41"/>
  <c r="C23" i="72"/>
  <c r="E25" i="41"/>
  <c r="D25" i="41"/>
  <c r="C24" i="72"/>
  <c r="E26" i="41"/>
  <c r="D26" i="41"/>
  <c r="F26" i="41"/>
  <c r="C25" i="72"/>
  <c r="E27" i="41"/>
  <c r="D27" i="41"/>
  <c r="F27" i="41"/>
  <c r="Y27" i="41"/>
  <c r="C26" i="72"/>
  <c r="E28" i="41"/>
  <c r="D28" i="41"/>
  <c r="F28" i="41"/>
  <c r="C27" i="72"/>
  <c r="E29" i="41"/>
  <c r="D29" i="41"/>
  <c r="C28" i="72"/>
  <c r="E30" i="41"/>
  <c r="D30" i="41"/>
  <c r="C29" i="72"/>
  <c r="E31" i="41"/>
  <c r="F31" i="41"/>
  <c r="D31" i="41"/>
  <c r="C30" i="72"/>
  <c r="E32" i="41"/>
  <c r="D32" i="41"/>
  <c r="F32" i="41"/>
  <c r="C31" i="72"/>
  <c r="E33" i="41"/>
  <c r="D33" i="41"/>
  <c r="F33" i="41"/>
  <c r="C32" i="72"/>
  <c r="E34" i="41"/>
  <c r="D34" i="41"/>
  <c r="F34" i="41"/>
  <c r="C33" i="72"/>
  <c r="E35" i="41"/>
  <c r="D35" i="41"/>
  <c r="C34" i="72"/>
  <c r="E36" i="41"/>
  <c r="D36" i="41"/>
  <c r="C35" i="72"/>
  <c r="E37" i="41"/>
  <c r="D37" i="41"/>
  <c r="C36" i="72"/>
  <c r="E38" i="41"/>
  <c r="D38" i="41"/>
  <c r="C37" i="72"/>
  <c r="E39" i="41"/>
  <c r="D39" i="41"/>
  <c r="F39" i="41"/>
  <c r="C38" i="72"/>
  <c r="E40" i="41"/>
  <c r="D40" i="41"/>
  <c r="C39" i="72"/>
  <c r="E41" i="41"/>
  <c r="D41" i="41"/>
  <c r="C40" i="72"/>
  <c r="E42" i="41"/>
  <c r="D42" i="41"/>
  <c r="C41" i="72"/>
  <c r="E43" i="41"/>
  <c r="D43" i="41"/>
  <c r="C42" i="72"/>
  <c r="E44" i="41"/>
  <c r="D44" i="41"/>
  <c r="C43" i="72"/>
  <c r="E45" i="41"/>
  <c r="D45" i="41"/>
  <c r="C44" i="72"/>
  <c r="E46" i="41"/>
  <c r="F46" i="41"/>
  <c r="Y46" i="41"/>
  <c r="D46" i="41"/>
  <c r="C45" i="72"/>
  <c r="E47" i="41"/>
  <c r="D47" i="41"/>
  <c r="C46" i="72"/>
  <c r="E48" i="41"/>
  <c r="D48" i="41"/>
  <c r="F48" i="41"/>
  <c r="C47" i="72"/>
  <c r="E49" i="41"/>
  <c r="D49" i="41"/>
  <c r="C48" i="72"/>
  <c r="E50" i="41"/>
  <c r="D50" i="41"/>
  <c r="C49" i="72"/>
  <c r="E51" i="41"/>
  <c r="D51" i="41"/>
  <c r="C50" i="72"/>
  <c r="E52" i="41"/>
  <c r="D52" i="41"/>
  <c r="C51" i="72"/>
  <c r="E53" i="41"/>
  <c r="D53" i="41"/>
  <c r="C52" i="72"/>
  <c r="E54" i="41"/>
  <c r="F54" i="41"/>
  <c r="D54" i="41"/>
  <c r="C53" i="72"/>
  <c r="E55" i="41"/>
  <c r="D55" i="41"/>
  <c r="F55" i="41"/>
  <c r="C54" i="72"/>
  <c r="E56" i="41"/>
  <c r="D56" i="41"/>
  <c r="F56" i="41"/>
  <c r="C55" i="72"/>
  <c r="E57" i="41"/>
  <c r="D57" i="41"/>
  <c r="C56" i="72"/>
  <c r="E58" i="41"/>
  <c r="F58" i="41"/>
  <c r="D58" i="41"/>
  <c r="C57" i="72"/>
  <c r="E59" i="41"/>
  <c r="D59" i="41"/>
  <c r="C58" i="72"/>
  <c r="E60" i="41"/>
  <c r="D60" i="41"/>
  <c r="C59" i="72"/>
  <c r="E61" i="41"/>
  <c r="D61" i="41"/>
  <c r="F61" i="41"/>
  <c r="Y61" i="41"/>
  <c r="C60" i="72"/>
  <c r="E62" i="41"/>
  <c r="D62" i="41"/>
  <c r="C61" i="72"/>
  <c r="E63" i="41"/>
  <c r="D63" i="41"/>
  <c r="C62" i="72"/>
  <c r="E64" i="41"/>
  <c r="D64" i="41"/>
  <c r="F64" i="41"/>
  <c r="C63" i="72"/>
  <c r="N7" i="41"/>
  <c r="N8" i="41"/>
  <c r="R7" i="41"/>
  <c r="N52" i="41"/>
  <c r="F52" i="146"/>
  <c r="S52" i="41"/>
  <c r="G52" i="146"/>
  <c r="T52" i="41"/>
  <c r="K52" i="41"/>
  <c r="N59" i="41"/>
  <c r="N60" i="41"/>
  <c r="K60" i="41"/>
  <c r="N61" i="41"/>
  <c r="L61" i="41"/>
  <c r="K61" i="41"/>
  <c r="N62" i="41"/>
  <c r="K62" i="41"/>
  <c r="N63" i="41"/>
  <c r="L63" i="41"/>
  <c r="K63" i="41"/>
  <c r="N64" i="41"/>
  <c r="K64" i="41"/>
  <c r="N53" i="41"/>
  <c r="K53" i="41"/>
  <c r="N54" i="41"/>
  <c r="K54" i="41"/>
  <c r="N55" i="41"/>
  <c r="N56" i="41"/>
  <c r="K56" i="41"/>
  <c r="N57" i="41"/>
  <c r="K57" i="41"/>
  <c r="N58" i="41"/>
  <c r="K58" i="41"/>
  <c r="N23" i="41"/>
  <c r="K23" i="41"/>
  <c r="N24" i="41"/>
  <c r="K24" i="41"/>
  <c r="N25" i="41"/>
  <c r="K25" i="41"/>
  <c r="N26" i="41"/>
  <c r="K26" i="41"/>
  <c r="N27" i="41"/>
  <c r="K27" i="41"/>
  <c r="N28" i="41"/>
  <c r="K28" i="41"/>
  <c r="N29" i="41"/>
  <c r="K29" i="41"/>
  <c r="N30" i="41"/>
  <c r="K30" i="41"/>
  <c r="N31" i="41"/>
  <c r="N32" i="41"/>
  <c r="K32" i="41"/>
  <c r="N33" i="41"/>
  <c r="N34" i="41"/>
  <c r="K34" i="41"/>
  <c r="N35" i="41"/>
  <c r="K35" i="41"/>
  <c r="N36" i="41"/>
  <c r="K36" i="41"/>
  <c r="N37" i="41"/>
  <c r="K37" i="41"/>
  <c r="N38" i="41"/>
  <c r="K38" i="41"/>
  <c r="N39" i="41"/>
  <c r="K39" i="41"/>
  <c r="N40" i="41"/>
  <c r="K40" i="41"/>
  <c r="N41" i="41"/>
  <c r="N42" i="41"/>
  <c r="K42" i="41"/>
  <c r="N43" i="41"/>
  <c r="K43" i="41"/>
  <c r="N44" i="41"/>
  <c r="K44" i="41"/>
  <c r="N45" i="41"/>
  <c r="N46" i="41"/>
  <c r="K46" i="41"/>
  <c r="N47" i="41"/>
  <c r="N48" i="41"/>
  <c r="K48" i="41"/>
  <c r="N49" i="41"/>
  <c r="K49" i="41"/>
  <c r="N50" i="41"/>
  <c r="K50" i="41"/>
  <c r="N51" i="41"/>
  <c r="K51" i="41"/>
  <c r="N13" i="41"/>
  <c r="K13" i="41"/>
  <c r="N14" i="41"/>
  <c r="N15" i="41"/>
  <c r="K15" i="41"/>
  <c r="N16" i="41"/>
  <c r="N17" i="41"/>
  <c r="K17" i="41"/>
  <c r="N18" i="41"/>
  <c r="K18" i="41"/>
  <c r="N19" i="41"/>
  <c r="K19" i="41"/>
  <c r="N20" i="41"/>
  <c r="N21" i="41"/>
  <c r="K21" i="41"/>
  <c r="N22" i="41"/>
  <c r="K22" i="41"/>
  <c r="N9" i="41"/>
  <c r="K9" i="41"/>
  <c r="N10" i="41"/>
  <c r="K10" i="41"/>
  <c r="N11" i="41"/>
  <c r="K11" i="41"/>
  <c r="N12" i="41"/>
  <c r="AA8" i="41"/>
  <c r="E8" i="148"/>
  <c r="E9" i="148"/>
  <c r="E10" i="148"/>
  <c r="AA12" i="41"/>
  <c r="E11" i="148"/>
  <c r="AA13" i="41"/>
  <c r="E12" i="148"/>
  <c r="AA14" i="41"/>
  <c r="E13" i="148"/>
  <c r="E14" i="148"/>
  <c r="AA16" i="41"/>
  <c r="E15" i="148"/>
  <c r="AA17" i="41"/>
  <c r="E16" i="148"/>
  <c r="E18" i="148"/>
  <c r="AA20" i="41"/>
  <c r="E19" i="148"/>
  <c r="AA21" i="41"/>
  <c r="E20" i="148"/>
  <c r="AA22" i="41"/>
  <c r="E21" i="148"/>
  <c r="E22" i="148"/>
  <c r="AA24" i="41"/>
  <c r="E23" i="148"/>
  <c r="AA25" i="41"/>
  <c r="E24" i="148"/>
  <c r="AA26" i="41"/>
  <c r="E25" i="148"/>
  <c r="AA27" i="41"/>
  <c r="E26" i="148"/>
  <c r="AA28" i="41"/>
  <c r="E27" i="148"/>
  <c r="AA29" i="41"/>
  <c r="E28" i="148"/>
  <c r="AA30" i="41"/>
  <c r="E29" i="148"/>
  <c r="E30" i="148"/>
  <c r="AA32" i="41"/>
  <c r="E31" i="148"/>
  <c r="AA33" i="41"/>
  <c r="E32" i="148"/>
  <c r="AA34" i="41"/>
  <c r="E33" i="148"/>
  <c r="E34" i="148"/>
  <c r="AA36" i="41"/>
  <c r="E35" i="148"/>
  <c r="AA37" i="41"/>
  <c r="E36" i="148"/>
  <c r="AA38" i="41"/>
  <c r="E37" i="148"/>
  <c r="E38" i="148"/>
  <c r="AA40" i="41"/>
  <c r="E39" i="148"/>
  <c r="AA41" i="41"/>
  <c r="E40" i="148"/>
  <c r="AA42" i="41"/>
  <c r="E41" i="148"/>
  <c r="AA43" i="41"/>
  <c r="E42" i="148"/>
  <c r="AA44" i="41"/>
  <c r="E43" i="148"/>
  <c r="AA45" i="41"/>
  <c r="E44" i="148"/>
  <c r="AA46" i="41"/>
  <c r="E45" i="148"/>
  <c r="E46" i="148"/>
  <c r="AA48" i="41"/>
  <c r="E47" i="148"/>
  <c r="AA49" i="41"/>
  <c r="E48" i="148"/>
  <c r="AA50" i="41"/>
  <c r="E49" i="148"/>
  <c r="AA52" i="41"/>
  <c r="E51" i="148"/>
  <c r="AA53" i="41"/>
  <c r="E52" i="148"/>
  <c r="AA54" i="41"/>
  <c r="E53" i="148"/>
  <c r="AA55" i="41"/>
  <c r="E54" i="148"/>
  <c r="AA56" i="41"/>
  <c r="E55" i="148"/>
  <c r="AA57" i="41"/>
  <c r="E56" i="148"/>
  <c r="AA58" i="41"/>
  <c r="E58" i="148"/>
  <c r="AA60" i="41"/>
  <c r="E59" i="148"/>
  <c r="AA61" i="41"/>
  <c r="E60" i="148"/>
  <c r="AA62" i="41"/>
  <c r="E61" i="148"/>
  <c r="AA63" i="41"/>
  <c r="E62" i="148"/>
  <c r="AA64" i="41"/>
  <c r="D63" i="148"/>
  <c r="AA59" i="41"/>
  <c r="AA51" i="41"/>
  <c r="AA47" i="41"/>
  <c r="AA39" i="41"/>
  <c r="AA35" i="41"/>
  <c r="AA31" i="41"/>
  <c r="AA23" i="41"/>
  <c r="AA18" i="41"/>
  <c r="AA15" i="41"/>
  <c r="AA11" i="41"/>
  <c r="AA10" i="41"/>
  <c r="AA7" i="41"/>
  <c r="F7" i="93"/>
  <c r="F43" i="146"/>
  <c r="S43" i="41"/>
  <c r="F7" i="146"/>
  <c r="S7" i="41"/>
  <c r="G7" i="146"/>
  <c r="T7" i="41"/>
  <c r="Q8" i="41"/>
  <c r="R8" i="41"/>
  <c r="F8" i="146"/>
  <c r="S8" i="41"/>
  <c r="G8" i="146"/>
  <c r="T8" i="41"/>
  <c r="Q9" i="41"/>
  <c r="R9" i="41"/>
  <c r="F9" i="146"/>
  <c r="S9" i="41"/>
  <c r="G9" i="146"/>
  <c r="T9" i="41"/>
  <c r="R10" i="41"/>
  <c r="F10" i="146"/>
  <c r="S10" i="41"/>
  <c r="G10" i="146"/>
  <c r="T10" i="41"/>
  <c r="Q11" i="41"/>
  <c r="R11" i="41"/>
  <c r="G11" i="146"/>
  <c r="T11" i="41"/>
  <c r="Q12" i="41"/>
  <c r="R12" i="41"/>
  <c r="F12" i="146"/>
  <c r="S12" i="41"/>
  <c r="G12" i="146"/>
  <c r="T12" i="41"/>
  <c r="Q13" i="41"/>
  <c r="R13" i="41"/>
  <c r="F13" i="146"/>
  <c r="S13" i="41"/>
  <c r="G13" i="146"/>
  <c r="T13" i="41"/>
  <c r="R14" i="41"/>
  <c r="F14" i="146"/>
  <c r="S14" i="41"/>
  <c r="G14" i="146"/>
  <c r="T14" i="41"/>
  <c r="Q15" i="41"/>
  <c r="R15" i="41"/>
  <c r="F15" i="146"/>
  <c r="S15" i="41"/>
  <c r="G15" i="146"/>
  <c r="T15" i="41"/>
  <c r="Q16" i="41"/>
  <c r="R16" i="41"/>
  <c r="F16" i="146"/>
  <c r="S16" i="41"/>
  <c r="G16" i="146"/>
  <c r="T16" i="41"/>
  <c r="Q17" i="41"/>
  <c r="R17" i="41"/>
  <c r="F17" i="146"/>
  <c r="S17" i="41"/>
  <c r="G17" i="146"/>
  <c r="T17" i="41"/>
  <c r="Q18" i="41"/>
  <c r="R18" i="41"/>
  <c r="F18" i="146"/>
  <c r="S18" i="41"/>
  <c r="G18" i="146"/>
  <c r="T18" i="41"/>
  <c r="Q19" i="41"/>
  <c r="R19" i="41"/>
  <c r="F19" i="146"/>
  <c r="S19" i="41"/>
  <c r="G19" i="146"/>
  <c r="T19" i="41"/>
  <c r="Q20" i="41"/>
  <c r="R20" i="41"/>
  <c r="F20" i="146"/>
  <c r="S20" i="41"/>
  <c r="Q21" i="41"/>
  <c r="R21" i="41"/>
  <c r="F21" i="146"/>
  <c r="S21" i="41"/>
  <c r="G21" i="146"/>
  <c r="T21" i="41"/>
  <c r="Q22" i="41"/>
  <c r="R22" i="41"/>
  <c r="F22" i="146"/>
  <c r="S22" i="41"/>
  <c r="G22" i="146"/>
  <c r="T22" i="41"/>
  <c r="Q23" i="41"/>
  <c r="R23" i="41"/>
  <c r="F23" i="146"/>
  <c r="S23" i="41"/>
  <c r="G23" i="146"/>
  <c r="T23" i="41"/>
  <c r="Q24" i="41"/>
  <c r="R24" i="41"/>
  <c r="F24" i="146"/>
  <c r="S24" i="41"/>
  <c r="G24" i="146"/>
  <c r="T24" i="41"/>
  <c r="Q25" i="41"/>
  <c r="R25" i="41"/>
  <c r="F25" i="146"/>
  <c r="S25" i="41"/>
  <c r="G25" i="146"/>
  <c r="T25" i="41"/>
  <c r="Q26" i="41"/>
  <c r="R26" i="41"/>
  <c r="F26" i="146"/>
  <c r="S26" i="41"/>
  <c r="G26" i="146"/>
  <c r="T26" i="41"/>
  <c r="Q27" i="41"/>
  <c r="R27" i="41"/>
  <c r="G27" i="146"/>
  <c r="T27" i="41"/>
  <c r="Q28" i="41"/>
  <c r="R28" i="41"/>
  <c r="F28" i="146"/>
  <c r="S28" i="41"/>
  <c r="G28" i="146"/>
  <c r="T28" i="41"/>
  <c r="Q29" i="41"/>
  <c r="R29" i="41"/>
  <c r="F29" i="146"/>
  <c r="S29" i="41"/>
  <c r="G29" i="146"/>
  <c r="T29" i="41"/>
  <c r="R30" i="41"/>
  <c r="F30" i="146"/>
  <c r="S30" i="41"/>
  <c r="G30" i="146"/>
  <c r="T30" i="41"/>
  <c r="Q31" i="41"/>
  <c r="R31" i="41"/>
  <c r="F31" i="146"/>
  <c r="S31" i="41"/>
  <c r="G31" i="146"/>
  <c r="T31" i="41"/>
  <c r="Q32" i="41"/>
  <c r="R32" i="41"/>
  <c r="G32" i="146"/>
  <c r="T32" i="41"/>
  <c r="Q33" i="41"/>
  <c r="R33" i="41"/>
  <c r="F33" i="146"/>
  <c r="S33" i="41"/>
  <c r="G33" i="146"/>
  <c r="T33" i="41"/>
  <c r="Q34" i="41"/>
  <c r="R34" i="41"/>
  <c r="F34" i="146"/>
  <c r="S34" i="41"/>
  <c r="G34" i="146"/>
  <c r="T34" i="41"/>
  <c r="Q35" i="41"/>
  <c r="R35" i="41"/>
  <c r="F35" i="146"/>
  <c r="S35" i="41"/>
  <c r="G35" i="146"/>
  <c r="T35" i="41"/>
  <c r="Q36" i="41"/>
  <c r="R36" i="41"/>
  <c r="F36" i="146"/>
  <c r="S36" i="41"/>
  <c r="G36" i="146"/>
  <c r="T36" i="41"/>
  <c r="Q37" i="41"/>
  <c r="F37" i="146"/>
  <c r="S37" i="41"/>
  <c r="G37" i="146"/>
  <c r="T37" i="41"/>
  <c r="Q38" i="41"/>
  <c r="F38" i="146"/>
  <c r="S38" i="41"/>
  <c r="G38" i="146"/>
  <c r="T38" i="41"/>
  <c r="Q39" i="41"/>
  <c r="R39" i="41"/>
  <c r="F39" i="146"/>
  <c r="S39" i="41"/>
  <c r="G39" i="146"/>
  <c r="T39" i="41"/>
  <c r="Q40" i="41"/>
  <c r="R40" i="41"/>
  <c r="F40" i="146"/>
  <c r="S40" i="41"/>
  <c r="G40" i="146"/>
  <c r="T40" i="41"/>
  <c r="Q41" i="41"/>
  <c r="R41" i="41"/>
  <c r="F41" i="146"/>
  <c r="S41" i="41"/>
  <c r="G41" i="146"/>
  <c r="T41" i="41"/>
  <c r="Q42" i="41"/>
  <c r="R42" i="41"/>
  <c r="F42" i="146"/>
  <c r="S42" i="41"/>
  <c r="G42" i="146"/>
  <c r="T42" i="41"/>
  <c r="Q43" i="41"/>
  <c r="R43" i="41"/>
  <c r="G43" i="146"/>
  <c r="T43" i="41"/>
  <c r="Q44" i="41"/>
  <c r="R44" i="41"/>
  <c r="F44" i="146"/>
  <c r="S44" i="41"/>
  <c r="G44" i="146"/>
  <c r="T44" i="41"/>
  <c r="Q45" i="41"/>
  <c r="R45" i="41"/>
  <c r="F45" i="146"/>
  <c r="S45" i="41"/>
  <c r="G45" i="146"/>
  <c r="T45" i="41"/>
  <c r="R46" i="41"/>
  <c r="F46" i="146"/>
  <c r="S46" i="41"/>
  <c r="G46" i="146"/>
  <c r="T46" i="41"/>
  <c r="Q47" i="41"/>
  <c r="R47" i="41"/>
  <c r="F47" i="146"/>
  <c r="S47" i="41"/>
  <c r="G47" i="146"/>
  <c r="T47" i="41"/>
  <c r="Q48" i="41"/>
  <c r="R48" i="41"/>
  <c r="F48" i="146"/>
  <c r="S48" i="41"/>
  <c r="G48" i="146"/>
  <c r="T48" i="41"/>
  <c r="Q49" i="41"/>
  <c r="R49" i="41"/>
  <c r="F49" i="146"/>
  <c r="S49" i="41"/>
  <c r="G49" i="146"/>
  <c r="T49" i="41"/>
  <c r="Q50" i="41"/>
  <c r="R50" i="41"/>
  <c r="F50" i="146"/>
  <c r="S50" i="41"/>
  <c r="G50" i="146"/>
  <c r="T50" i="41"/>
  <c r="Q51" i="41"/>
  <c r="R51" i="41"/>
  <c r="F51" i="146"/>
  <c r="S51" i="41"/>
  <c r="G51" i="146"/>
  <c r="T51" i="41"/>
  <c r="Q52" i="41"/>
  <c r="R52" i="41"/>
  <c r="Q53" i="41"/>
  <c r="R53" i="41"/>
  <c r="F53" i="146"/>
  <c r="S53" i="41"/>
  <c r="G53" i="146"/>
  <c r="T53" i="41"/>
  <c r="Q54" i="41"/>
  <c r="R54" i="41"/>
  <c r="F54" i="146"/>
  <c r="S54" i="41"/>
  <c r="G54" i="146"/>
  <c r="T54" i="41"/>
  <c r="Q55" i="41"/>
  <c r="R55" i="41"/>
  <c r="F55" i="146"/>
  <c r="S55" i="41"/>
  <c r="G55" i="146"/>
  <c r="T55" i="41"/>
  <c r="Q56" i="41"/>
  <c r="R56" i="41"/>
  <c r="F56" i="146"/>
  <c r="S56" i="41"/>
  <c r="G56" i="146"/>
  <c r="T56" i="41"/>
  <c r="Q57" i="41"/>
  <c r="R57" i="41"/>
  <c r="F57" i="146"/>
  <c r="S57" i="41"/>
  <c r="G57" i="146"/>
  <c r="T57" i="41"/>
  <c r="Q58" i="41"/>
  <c r="R58" i="41"/>
  <c r="F58" i="146"/>
  <c r="S58" i="41"/>
  <c r="G58" i="146"/>
  <c r="T58" i="41"/>
  <c r="Q59" i="41"/>
  <c r="R59" i="41"/>
  <c r="F59" i="146"/>
  <c r="S59" i="41"/>
  <c r="G59" i="146"/>
  <c r="T59" i="41"/>
  <c r="Q60" i="41"/>
  <c r="R60" i="41"/>
  <c r="F60" i="146"/>
  <c r="S60" i="41"/>
  <c r="G60" i="146"/>
  <c r="T60" i="41"/>
  <c r="Q61" i="41"/>
  <c r="R61" i="41"/>
  <c r="F61" i="146"/>
  <c r="S61" i="41"/>
  <c r="G61" i="146"/>
  <c r="T61" i="41"/>
  <c r="Q62" i="41"/>
  <c r="R62" i="41"/>
  <c r="F62" i="146"/>
  <c r="S62" i="41"/>
  <c r="G62" i="146"/>
  <c r="T62" i="41"/>
  <c r="Q63" i="41"/>
  <c r="R63" i="41"/>
  <c r="F63" i="146"/>
  <c r="S63" i="41"/>
  <c r="G63" i="146"/>
  <c r="T63" i="41"/>
  <c r="Q64" i="41"/>
  <c r="R64" i="41"/>
  <c r="F64" i="146"/>
  <c r="S64" i="41"/>
  <c r="G64" i="146"/>
  <c r="T64" i="41"/>
  <c r="H7" i="93"/>
  <c r="I7" i="93"/>
  <c r="F8" i="93"/>
  <c r="H8" i="93"/>
  <c r="I8" i="93"/>
  <c r="K8" i="93"/>
  <c r="F9" i="93"/>
  <c r="H9" i="93"/>
  <c r="I9" i="93"/>
  <c r="F10" i="93"/>
  <c r="H10" i="93"/>
  <c r="I10" i="93"/>
  <c r="F11" i="93"/>
  <c r="H11" i="93"/>
  <c r="I11" i="93"/>
  <c r="M11" i="93"/>
  <c r="F12" i="93"/>
  <c r="H12" i="93"/>
  <c r="I12" i="93"/>
  <c r="F13" i="93"/>
  <c r="H13" i="93"/>
  <c r="I13" i="93"/>
  <c r="F14" i="93"/>
  <c r="H14" i="93"/>
  <c r="I14" i="93"/>
  <c r="J14" i="93"/>
  <c r="N14" i="93"/>
  <c r="F15" i="93"/>
  <c r="H15" i="93"/>
  <c r="I15" i="93"/>
  <c r="F16" i="93"/>
  <c r="H16" i="93"/>
  <c r="I16" i="93"/>
  <c r="K16" i="93"/>
  <c r="F17" i="93"/>
  <c r="H17" i="93"/>
  <c r="I17" i="93"/>
  <c r="F18" i="93"/>
  <c r="H18" i="93"/>
  <c r="I18" i="93"/>
  <c r="J18" i="93"/>
  <c r="N18" i="93"/>
  <c r="F19" i="93"/>
  <c r="H19" i="93"/>
  <c r="I19" i="93"/>
  <c r="J19" i="93"/>
  <c r="N19" i="93"/>
  <c r="F20" i="93"/>
  <c r="H20" i="93"/>
  <c r="I20" i="93"/>
  <c r="F21" i="93"/>
  <c r="H21" i="93"/>
  <c r="I21" i="93"/>
  <c r="F22" i="93"/>
  <c r="H22" i="93"/>
  <c r="I22" i="93"/>
  <c r="K22" i="93"/>
  <c r="F23" i="93"/>
  <c r="H23" i="93"/>
  <c r="I23" i="93"/>
  <c r="F24" i="93"/>
  <c r="H24" i="93"/>
  <c r="I24" i="93"/>
  <c r="F25" i="93"/>
  <c r="H25" i="93"/>
  <c r="I25" i="93"/>
  <c r="F26" i="93"/>
  <c r="H26" i="93"/>
  <c r="I26" i="93"/>
  <c r="F27" i="93"/>
  <c r="H27" i="93"/>
  <c r="I27" i="93"/>
  <c r="J27" i="93"/>
  <c r="N27" i="93"/>
  <c r="F28" i="93"/>
  <c r="H28" i="93"/>
  <c r="I28" i="93"/>
  <c r="F29" i="93"/>
  <c r="H29" i="93"/>
  <c r="I29" i="93"/>
  <c r="K29" i="93"/>
  <c r="F30" i="93"/>
  <c r="H30" i="93"/>
  <c r="I30" i="93"/>
  <c r="K30" i="93"/>
  <c r="F31" i="93"/>
  <c r="H31" i="93"/>
  <c r="I31" i="93"/>
  <c r="F32" i="93"/>
  <c r="H32" i="93"/>
  <c r="I32" i="93"/>
  <c r="F33" i="93"/>
  <c r="H33" i="93"/>
  <c r="I33" i="93"/>
  <c r="F34" i="93"/>
  <c r="H34" i="93"/>
  <c r="I34" i="93"/>
  <c r="K34" i="93"/>
  <c r="F35" i="93"/>
  <c r="H35" i="93"/>
  <c r="I35" i="93"/>
  <c r="F36" i="93"/>
  <c r="H36" i="93"/>
  <c r="I36" i="93"/>
  <c r="F37" i="93"/>
  <c r="H37" i="93"/>
  <c r="I37" i="93"/>
  <c r="F38" i="93"/>
  <c r="H38" i="93"/>
  <c r="I38" i="93"/>
  <c r="J38" i="93"/>
  <c r="N38" i="93"/>
  <c r="F39" i="93"/>
  <c r="H39" i="93"/>
  <c r="I39" i="93"/>
  <c r="K39" i="93"/>
  <c r="F40" i="93"/>
  <c r="H40" i="93"/>
  <c r="I40" i="93"/>
  <c r="F41" i="93"/>
  <c r="H41" i="93"/>
  <c r="I41" i="93"/>
  <c r="F42" i="93"/>
  <c r="H42" i="93"/>
  <c r="I42" i="93"/>
  <c r="J42" i="93"/>
  <c r="K42" i="93"/>
  <c r="F43" i="93"/>
  <c r="H43" i="93"/>
  <c r="I43" i="93"/>
  <c r="M43" i="93"/>
  <c r="F44" i="93"/>
  <c r="H44" i="93"/>
  <c r="I44" i="93"/>
  <c r="F45" i="93"/>
  <c r="H45" i="93"/>
  <c r="I45" i="93"/>
  <c r="K45" i="93"/>
  <c r="F46" i="93"/>
  <c r="H46" i="93"/>
  <c r="I46" i="93"/>
  <c r="J46" i="93"/>
  <c r="N46" i="93"/>
  <c r="F47" i="93"/>
  <c r="H47" i="93"/>
  <c r="I47" i="93"/>
  <c r="F48" i="93"/>
  <c r="H48" i="93"/>
  <c r="I48" i="93"/>
  <c r="K48" i="93"/>
  <c r="F49" i="93"/>
  <c r="H49" i="93"/>
  <c r="I49" i="93"/>
  <c r="J49" i="93"/>
  <c r="F50" i="93"/>
  <c r="H50" i="93"/>
  <c r="I50" i="93"/>
  <c r="K50" i="93"/>
  <c r="F51" i="93"/>
  <c r="H51" i="93"/>
  <c r="I51" i="93"/>
  <c r="J51" i="93"/>
  <c r="F52" i="93"/>
  <c r="H52" i="93"/>
  <c r="I52" i="93"/>
  <c r="F53" i="93"/>
  <c r="H53" i="93"/>
  <c r="I53" i="93"/>
  <c r="F54" i="93"/>
  <c r="H54" i="93"/>
  <c r="I54" i="93"/>
  <c r="F55" i="93"/>
  <c r="H55" i="93"/>
  <c r="I55" i="93"/>
  <c r="F56" i="93"/>
  <c r="H56" i="93"/>
  <c r="I56" i="93"/>
  <c r="M56" i="93"/>
  <c r="P56" i="93"/>
  <c r="Q56" i="93"/>
  <c r="F57" i="93"/>
  <c r="H57" i="93"/>
  <c r="I57" i="93"/>
  <c r="F58" i="93"/>
  <c r="H58" i="93"/>
  <c r="I58" i="93"/>
  <c r="F59" i="93"/>
  <c r="H59" i="93"/>
  <c r="I59" i="93"/>
  <c r="F60" i="93"/>
  <c r="H60" i="93"/>
  <c r="I60" i="93"/>
  <c r="F61" i="93"/>
  <c r="H61" i="93"/>
  <c r="I61" i="93"/>
  <c r="F62" i="93"/>
  <c r="H62" i="93"/>
  <c r="I62" i="93"/>
  <c r="F63" i="93"/>
  <c r="H63" i="93"/>
  <c r="I63" i="93"/>
  <c r="J63" i="93"/>
  <c r="N63" i="93"/>
  <c r="O63" i="93"/>
  <c r="F64" i="93"/>
  <c r="H64" i="93"/>
  <c r="I64" i="93"/>
  <c r="K64" i="93"/>
  <c r="F65" i="93"/>
  <c r="C65" i="83"/>
  <c r="S65" i="83"/>
  <c r="F59" i="141"/>
  <c r="F28" i="141"/>
  <c r="F44" i="141"/>
  <c r="F17" i="141"/>
  <c r="F33" i="141"/>
  <c r="F49" i="141"/>
  <c r="F6" i="141"/>
  <c r="F22" i="141"/>
  <c r="F38" i="141"/>
  <c r="F54" i="141"/>
  <c r="F15" i="141"/>
  <c r="F31" i="141"/>
  <c r="F47" i="141"/>
  <c r="F12" i="141"/>
  <c r="F60" i="141"/>
  <c r="F16" i="141"/>
  <c r="F5" i="141"/>
  <c r="F37" i="141"/>
  <c r="F53" i="141"/>
  <c r="F10" i="141"/>
  <c r="F26" i="141"/>
  <c r="F42" i="141"/>
  <c r="F58" i="141"/>
  <c r="F19" i="141"/>
  <c r="F35" i="141"/>
  <c r="F51" i="141"/>
  <c r="F32" i="141"/>
  <c r="F48" i="141"/>
  <c r="F21" i="141"/>
  <c r="F4" i="141"/>
  <c r="F20" i="141"/>
  <c r="F36" i="141"/>
  <c r="F52" i="141"/>
  <c r="F9" i="141"/>
  <c r="F25" i="141"/>
  <c r="F41" i="141"/>
  <c r="F57" i="141"/>
  <c r="F14" i="141"/>
  <c r="F30" i="141"/>
  <c r="F46" i="141"/>
  <c r="F7" i="141"/>
  <c r="F23" i="141"/>
  <c r="F39" i="141"/>
  <c r="F55" i="141"/>
  <c r="F8" i="141"/>
  <c r="F24" i="141"/>
  <c r="F40" i="141"/>
  <c r="F56" i="141"/>
  <c r="F13" i="141"/>
  <c r="F29" i="141"/>
  <c r="F45" i="141"/>
  <c r="F3" i="141"/>
  <c r="F18" i="141"/>
  <c r="F34" i="141"/>
  <c r="F50" i="141"/>
  <c r="F11" i="141"/>
  <c r="F27" i="141"/>
  <c r="F43" i="141"/>
  <c r="J65" i="83"/>
  <c r="H65" i="83"/>
  <c r="O65" i="83"/>
  <c r="G65" i="83"/>
  <c r="F65" i="83"/>
  <c r="E65" i="83"/>
  <c r="D65" i="83"/>
  <c r="I65" i="83"/>
  <c r="J43" i="93"/>
  <c r="N43" i="93"/>
  <c r="N51" i="93"/>
  <c r="K44" i="93"/>
  <c r="N42" i="93"/>
  <c r="O42" i="93"/>
  <c r="P43" i="93"/>
  <c r="Q43" i="93"/>
  <c r="J48" i="93"/>
  <c r="N48" i="93"/>
  <c r="K19" i="93"/>
  <c r="O19" i="93"/>
  <c r="J16" i="93"/>
  <c r="N16" i="93"/>
  <c r="O16" i="93"/>
  <c r="J34" i="93"/>
  <c r="N34" i="93"/>
  <c r="O34" i="93"/>
  <c r="K47" i="93"/>
  <c r="K27" i="93"/>
  <c r="K46" i="93"/>
  <c r="O46" i="93"/>
  <c r="K18" i="93"/>
  <c r="J22" i="93"/>
  <c r="N22" i="93"/>
  <c r="K26" i="93"/>
  <c r="O26" i="93"/>
  <c r="J26" i="93"/>
  <c r="N26" i="93"/>
  <c r="K63" i="93"/>
  <c r="J35" i="93"/>
  <c r="N35" i="93"/>
  <c r="J60" i="93"/>
  <c r="N60" i="93"/>
  <c r="K15" i="93"/>
  <c r="M19" i="93"/>
  <c r="P19" i="93"/>
  <c r="Q19" i="93"/>
  <c r="M63" i="93"/>
  <c r="P63" i="93"/>
  <c r="Q63" i="93"/>
  <c r="M30" i="93"/>
  <c r="P30" i="93"/>
  <c r="Q30" i="93"/>
  <c r="M57" i="93"/>
  <c r="P57" i="93"/>
  <c r="Q57" i="93"/>
  <c r="H53" i="141"/>
  <c r="M53" i="141"/>
  <c r="N53" i="141"/>
  <c r="O18" i="93"/>
  <c r="M18" i="93"/>
  <c r="P18" i="93"/>
  <c r="Q18" i="93"/>
  <c r="M58" i="93"/>
  <c r="P58" i="93"/>
  <c r="Q58" i="93"/>
  <c r="M46" i="93"/>
  <c r="P46" i="93"/>
  <c r="Q46" i="93"/>
  <c r="M26" i="93"/>
  <c r="P26" i="93"/>
  <c r="Q26" i="93"/>
  <c r="M10" i="93"/>
  <c r="P10" i="93"/>
  <c r="Q10" i="93"/>
  <c r="M27" i="93"/>
  <c r="P27" i="93"/>
  <c r="Q27" i="93"/>
  <c r="M34" i="93"/>
  <c r="P34" i="93"/>
  <c r="Q34" i="93"/>
  <c r="M16" i="93"/>
  <c r="P16" i="93"/>
  <c r="Q16" i="93"/>
  <c r="J28" i="93"/>
  <c r="N28" i="93"/>
  <c r="O28" i="93"/>
  <c r="K28" i="93"/>
  <c r="J20" i="93"/>
  <c r="N20" i="93"/>
  <c r="K20" i="93"/>
  <c r="J59" i="93"/>
  <c r="N59" i="93"/>
  <c r="K59" i="93"/>
  <c r="O59" i="93"/>
  <c r="J24" i="93"/>
  <c r="N24" i="93"/>
  <c r="K24" i="93"/>
  <c r="O24" i="93"/>
  <c r="J31" i="93"/>
  <c r="N31" i="93"/>
  <c r="K31" i="93"/>
  <c r="K23" i="93"/>
  <c r="J23" i="93"/>
  <c r="N23" i="93"/>
  <c r="O23" i="93"/>
  <c r="J12" i="93"/>
  <c r="N12" i="93"/>
  <c r="K12" i="93"/>
  <c r="K52" i="93"/>
  <c r="O52" i="93"/>
  <c r="J52" i="93"/>
  <c r="N52" i="93"/>
  <c r="K32" i="93"/>
  <c r="J32" i="93"/>
  <c r="N32" i="93"/>
  <c r="P11" i="93"/>
  <c r="Q11" i="93"/>
  <c r="M28" i="93"/>
  <c r="P28" i="93"/>
  <c r="Q28" i="93"/>
  <c r="H24" i="141"/>
  <c r="M24" i="141"/>
  <c r="N24" i="141"/>
  <c r="M31" i="93"/>
  <c r="P31" i="93"/>
  <c r="Q31" i="93"/>
  <c r="M59" i="93"/>
  <c r="P59" i="93"/>
  <c r="Q59" i="93"/>
  <c r="M32" i="93"/>
  <c r="P32" i="93"/>
  <c r="Q32" i="93"/>
  <c r="J28" i="141"/>
  <c r="M12" i="93"/>
  <c r="P12" i="93"/>
  <c r="Q12" i="93"/>
  <c r="M52" i="93"/>
  <c r="P52" i="93"/>
  <c r="T52" i="93"/>
  <c r="M23" i="93"/>
  <c r="P23" i="93"/>
  <c r="Q23" i="93"/>
  <c r="H19" i="141"/>
  <c r="M19" i="141"/>
  <c r="N19" i="141"/>
  <c r="M24" i="93"/>
  <c r="P24" i="93"/>
  <c r="Q24" i="93"/>
  <c r="M20" i="93"/>
  <c r="P20" i="93"/>
  <c r="Q20" i="93"/>
  <c r="J8" i="93"/>
  <c r="N8" i="93"/>
  <c r="O8" i="93"/>
  <c r="M8" i="93"/>
  <c r="P8" i="93"/>
  <c r="J55" i="141"/>
  <c r="H29" i="141"/>
  <c r="M29" i="141"/>
  <c r="N29" i="141"/>
  <c r="H54" i="141"/>
  <c r="H50" i="141"/>
  <c r="M50" i="141"/>
  <c r="H40" i="141"/>
  <c r="M40" i="141"/>
  <c r="N40" i="141"/>
  <c r="H32" i="141"/>
  <c r="H8" i="141"/>
  <c r="H17" i="141"/>
  <c r="M17" i="141"/>
  <c r="N17" i="141"/>
  <c r="J43" i="141"/>
  <c r="H26" i="141"/>
  <c r="M9" i="93"/>
  <c r="P9" i="93"/>
  <c r="Q9" i="93"/>
  <c r="R9" i="93"/>
  <c r="J5" i="141"/>
  <c r="K9" i="93"/>
  <c r="J9" i="93"/>
  <c r="N9" i="93"/>
  <c r="O31" i="93"/>
  <c r="N49" i="93"/>
  <c r="M49" i="93"/>
  <c r="P49" i="93"/>
  <c r="Q49" i="93"/>
  <c r="R49" i="93"/>
  <c r="J45" i="141"/>
  <c r="J37" i="93"/>
  <c r="N37" i="93"/>
  <c r="K37" i="93"/>
  <c r="M37" i="93"/>
  <c r="P37" i="93"/>
  <c r="Q37" i="93"/>
  <c r="J21" i="93"/>
  <c r="N21" i="93"/>
  <c r="K21" i="93"/>
  <c r="M21" i="93"/>
  <c r="P21" i="93"/>
  <c r="Q21" i="93"/>
  <c r="J41" i="93"/>
  <c r="N41" i="93"/>
  <c r="K41" i="93"/>
  <c r="O41" i="93"/>
  <c r="M41" i="93"/>
  <c r="P41" i="93"/>
  <c r="Q41" i="93"/>
  <c r="R41" i="93"/>
  <c r="J61" i="93"/>
  <c r="N61" i="93"/>
  <c r="O61" i="93"/>
  <c r="M61" i="93"/>
  <c r="P61" i="93"/>
  <c r="Q61" i="93"/>
  <c r="H57" i="141"/>
  <c r="M57" i="141"/>
  <c r="N57" i="141"/>
  <c r="K61" i="93"/>
  <c r="O48" i="93"/>
  <c r="J33" i="93"/>
  <c r="N33" i="93"/>
  <c r="K33" i="93"/>
  <c r="M33" i="93"/>
  <c r="P33" i="93"/>
  <c r="Q33" i="93"/>
  <c r="M17" i="93"/>
  <c r="P17" i="93"/>
  <c r="Q17" i="93"/>
  <c r="H13" i="141"/>
  <c r="M13" i="141"/>
  <c r="N13" i="141"/>
  <c r="K17" i="93"/>
  <c r="O17" i="93"/>
  <c r="J17" i="93"/>
  <c r="N17" i="93"/>
  <c r="J25" i="93"/>
  <c r="N25" i="93"/>
  <c r="M25" i="93"/>
  <c r="P25" i="93"/>
  <c r="Q25" i="93"/>
  <c r="K25" i="93"/>
  <c r="M53" i="93"/>
  <c r="P53" i="93"/>
  <c r="Q53" i="93"/>
  <c r="K53" i="93"/>
  <c r="J53" i="93"/>
  <c r="N53" i="93"/>
  <c r="J45" i="93"/>
  <c r="N45" i="93"/>
  <c r="O45" i="93"/>
  <c r="M45" i="93"/>
  <c r="P45" i="93"/>
  <c r="Q45" i="93"/>
  <c r="R45" i="93"/>
  <c r="J29" i="93"/>
  <c r="N29" i="93"/>
  <c r="M29" i="93"/>
  <c r="P29" i="93"/>
  <c r="Q29" i="93"/>
  <c r="H25" i="141"/>
  <c r="M25" i="141"/>
  <c r="N25" i="141"/>
  <c r="M13" i="93"/>
  <c r="P13" i="93"/>
  <c r="Q13" i="93"/>
  <c r="R13" i="93"/>
  <c r="H9" i="141"/>
  <c r="M9" i="141"/>
  <c r="N9" i="141"/>
  <c r="J13" i="93"/>
  <c r="N13" i="93"/>
  <c r="K13" i="93"/>
  <c r="K38" i="93"/>
  <c r="O38" i="93"/>
  <c r="K14" i="93"/>
  <c r="O14" i="93"/>
  <c r="M50" i="93"/>
  <c r="P50" i="93"/>
  <c r="Q50" i="93"/>
  <c r="H46" i="141"/>
  <c r="M46" i="141"/>
  <c r="N46" i="141"/>
  <c r="M64" i="93"/>
  <c r="P64" i="93"/>
  <c r="Q64" i="93"/>
  <c r="J64" i="93"/>
  <c r="N64" i="93"/>
  <c r="O64" i="93"/>
  <c r="J30" i="93"/>
  <c r="N30" i="93"/>
  <c r="O30" i="93"/>
  <c r="M42" i="93"/>
  <c r="P42" i="93"/>
  <c r="Q42" i="93"/>
  <c r="H38" i="141"/>
  <c r="M38" i="141"/>
  <c r="N38" i="141"/>
  <c r="K36" i="93"/>
  <c r="K54" i="93"/>
  <c r="M54" i="93"/>
  <c r="P54" i="93"/>
  <c r="Q54" i="93"/>
  <c r="J54" i="93"/>
  <c r="N54" i="93"/>
  <c r="K40" i="93"/>
  <c r="M40" i="93"/>
  <c r="P40" i="93"/>
  <c r="Q40" i="93"/>
  <c r="J36" i="141"/>
  <c r="J40" i="93"/>
  <c r="N40" i="93"/>
  <c r="M35" i="93"/>
  <c r="P35" i="93"/>
  <c r="Q35" i="93"/>
  <c r="H31" i="141"/>
  <c r="M31" i="141"/>
  <c r="N31" i="141"/>
  <c r="K35" i="93"/>
  <c r="O35" i="93"/>
  <c r="O27" i="93"/>
  <c r="M55" i="93"/>
  <c r="P55" i="93"/>
  <c r="Q55" i="93"/>
  <c r="K55" i="93"/>
  <c r="M38" i="93"/>
  <c r="P38" i="93"/>
  <c r="Q38" i="93"/>
  <c r="H34" i="141"/>
  <c r="M34" i="141"/>
  <c r="N34" i="141"/>
  <c r="M48" i="93"/>
  <c r="P48" i="93"/>
  <c r="Q48" i="93"/>
  <c r="J50" i="93"/>
  <c r="N50" i="93"/>
  <c r="O50" i="93"/>
  <c r="K58" i="93"/>
  <c r="J58" i="93"/>
  <c r="N58" i="93"/>
  <c r="O58" i="93"/>
  <c r="K56" i="93"/>
  <c r="J56" i="93"/>
  <c r="N56" i="93"/>
  <c r="O56" i="93"/>
  <c r="M47" i="93"/>
  <c r="P47" i="93"/>
  <c r="Q47" i="93"/>
  <c r="H43" i="141"/>
  <c r="M43" i="141"/>
  <c r="N43" i="141"/>
  <c r="J47" i="93"/>
  <c r="N47" i="93"/>
  <c r="O47" i="93"/>
  <c r="K10" i="93"/>
  <c r="J10" i="93"/>
  <c r="N10" i="93"/>
  <c r="K57" i="93"/>
  <c r="O57" i="93"/>
  <c r="J57" i="93"/>
  <c r="N57" i="93"/>
  <c r="O32" i="93"/>
  <c r="M22" i="93"/>
  <c r="P22" i="93"/>
  <c r="Q22" i="93"/>
  <c r="H18" i="141"/>
  <c r="M18" i="141"/>
  <c r="N18" i="141"/>
  <c r="J55" i="93"/>
  <c r="N55" i="93"/>
  <c r="J62" i="93"/>
  <c r="N62" i="93"/>
  <c r="M62" i="93"/>
  <c r="P62" i="93"/>
  <c r="Q62" i="93"/>
  <c r="K62" i="93"/>
  <c r="K60" i="93"/>
  <c r="O60" i="93"/>
  <c r="M60" i="93"/>
  <c r="P60" i="93"/>
  <c r="Q60" i="93"/>
  <c r="M51" i="93"/>
  <c r="P51" i="93"/>
  <c r="Q51" i="93"/>
  <c r="H47" i="141"/>
  <c r="M47" i="141"/>
  <c r="N47" i="141"/>
  <c r="K51" i="93"/>
  <c r="O51" i="93"/>
  <c r="J44" i="93"/>
  <c r="N44" i="93"/>
  <c r="O44" i="93"/>
  <c r="M44" i="93"/>
  <c r="P44" i="93"/>
  <c r="Q44" i="93"/>
  <c r="M39" i="93"/>
  <c r="P39" i="93"/>
  <c r="Q39" i="93"/>
  <c r="J39" i="93"/>
  <c r="N39" i="93"/>
  <c r="O39" i="93"/>
  <c r="M15" i="93"/>
  <c r="P15" i="93"/>
  <c r="Q15" i="93"/>
  <c r="H11" i="141"/>
  <c r="M11" i="141"/>
  <c r="N11" i="141"/>
  <c r="J15" i="93"/>
  <c r="N15" i="93"/>
  <c r="O15" i="93"/>
  <c r="Q8" i="93"/>
  <c r="H4" i="141"/>
  <c r="M4" i="141"/>
  <c r="N4" i="141"/>
  <c r="S8" i="93"/>
  <c r="T8" i="93"/>
  <c r="Q52" i="93"/>
  <c r="H48" i="141"/>
  <c r="M48" i="141"/>
  <c r="N48" i="141"/>
  <c r="S52" i="93"/>
  <c r="M32" i="141"/>
  <c r="N32" i="141"/>
  <c r="M26" i="141"/>
  <c r="N26" i="141"/>
  <c r="J57" i="141"/>
  <c r="M8" i="141"/>
  <c r="N8" i="141"/>
  <c r="M54" i="141"/>
  <c r="N54" i="141"/>
  <c r="N50" i="141"/>
  <c r="J25" i="141"/>
  <c r="J11" i="141"/>
  <c r="J9" i="141"/>
  <c r="J40" i="141"/>
  <c r="J20" i="141"/>
  <c r="H20" i="141"/>
  <c r="M20" i="141"/>
  <c r="N20" i="141"/>
  <c r="J60" i="141"/>
  <c r="H60" i="141"/>
  <c r="M60" i="141"/>
  <c r="N60" i="141"/>
  <c r="H41" i="141"/>
  <c r="M41" i="141"/>
  <c r="N41" i="141"/>
  <c r="J41" i="141"/>
  <c r="J14" i="141"/>
  <c r="H14" i="141"/>
  <c r="M14" i="141"/>
  <c r="N14" i="141"/>
  <c r="J35" i="141"/>
  <c r="H35" i="141"/>
  <c r="M35" i="141"/>
  <c r="N35" i="141"/>
  <c r="J39" i="141"/>
  <c r="H39" i="141"/>
  <c r="M39" i="141"/>
  <c r="N39" i="141"/>
  <c r="J26" i="141"/>
  <c r="J34" i="141"/>
  <c r="J50" i="141"/>
  <c r="J8" i="141"/>
  <c r="J32" i="141"/>
  <c r="J30" i="141"/>
  <c r="J52" i="141"/>
  <c r="J23" i="141"/>
  <c r="J6" i="141"/>
  <c r="J7" i="141"/>
  <c r="J58" i="141"/>
  <c r="H58" i="141"/>
  <c r="M58" i="141"/>
  <c r="N58" i="141"/>
  <c r="J44" i="141"/>
  <c r="H44" i="141"/>
  <c r="M44" i="141"/>
  <c r="N44" i="141"/>
  <c r="H27" i="141"/>
  <c r="M27" i="141"/>
  <c r="N27" i="141"/>
  <c r="J27" i="141"/>
  <c r="H36" i="141"/>
  <c r="M36" i="141"/>
  <c r="N36" i="141"/>
  <c r="H30" i="141"/>
  <c r="M30" i="141"/>
  <c r="N30" i="141"/>
  <c r="H7" i="141"/>
  <c r="M7" i="141"/>
  <c r="N7" i="141"/>
  <c r="J46" i="141"/>
  <c r="H28" i="141"/>
  <c r="M28" i="141"/>
  <c r="N28" i="141"/>
  <c r="J24" i="141"/>
  <c r="H5" i="141"/>
  <c r="M5" i="141"/>
  <c r="N5" i="141"/>
  <c r="H55" i="141"/>
  <c r="M55" i="141"/>
  <c r="N55" i="141"/>
  <c r="J19" i="141"/>
  <c r="H23" i="141"/>
  <c r="M23" i="141"/>
  <c r="N23" i="141"/>
  <c r="J29" i="141"/>
  <c r="J47" i="141"/>
  <c r="J17" i="141"/>
  <c r="J10" i="141"/>
  <c r="J18" i="141"/>
  <c r="H22" i="141"/>
  <c r="M22" i="141"/>
  <c r="N22" i="141"/>
  <c r="J22" i="141"/>
  <c r="H49" i="141"/>
  <c r="M49" i="141"/>
  <c r="N49" i="141"/>
  <c r="J49" i="141"/>
  <c r="H59" i="141"/>
  <c r="M59" i="141"/>
  <c r="N59" i="141"/>
  <c r="J59" i="141"/>
  <c r="J31" i="141"/>
  <c r="J4" i="141"/>
  <c r="J42" i="141"/>
  <c r="H42" i="141"/>
  <c r="M42" i="141"/>
  <c r="N42" i="141"/>
  <c r="H52" i="141"/>
  <c r="M52" i="141"/>
  <c r="N52" i="141"/>
  <c r="J53" i="141"/>
  <c r="H10" i="141"/>
  <c r="M10" i="141"/>
  <c r="N10" i="141"/>
  <c r="J38" i="141"/>
  <c r="J13" i="141"/>
  <c r="H6" i="141"/>
  <c r="M6" i="141"/>
  <c r="N6" i="141"/>
  <c r="H51" i="141"/>
  <c r="M51" i="141"/>
  <c r="N51" i="141"/>
  <c r="H15" i="141"/>
  <c r="M15" i="141"/>
  <c r="N15" i="141"/>
  <c r="H21" i="141"/>
  <c r="M21" i="141"/>
  <c r="N21" i="141"/>
  <c r="H16" i="141"/>
  <c r="M16" i="141"/>
  <c r="N16" i="141"/>
  <c r="H56" i="141"/>
  <c r="M56" i="141"/>
  <c r="N56" i="141"/>
  <c r="M7" i="93"/>
  <c r="J7" i="93"/>
  <c r="N7" i="93"/>
  <c r="O7" i="93"/>
  <c r="K7" i="93"/>
  <c r="H45" i="141"/>
  <c r="M45" i="141"/>
  <c r="N45" i="141"/>
  <c r="H12" i="141"/>
  <c r="M12" i="141"/>
  <c r="N12" i="141"/>
  <c r="H33" i="141"/>
  <c r="M33" i="141"/>
  <c r="N33" i="141"/>
  <c r="H37" i="141"/>
  <c r="M37" i="141"/>
  <c r="N37" i="141"/>
  <c r="O29" i="93"/>
  <c r="O25" i="93"/>
  <c r="O33" i="93"/>
  <c r="O37" i="93"/>
  <c r="O62" i="93"/>
  <c r="O54" i="93"/>
  <c r="O53" i="93"/>
  <c r="O21" i="93"/>
  <c r="J54" i="141"/>
  <c r="J61" i="141"/>
  <c r="J33" i="141"/>
  <c r="J21" i="141"/>
  <c r="J56" i="141"/>
  <c r="J16" i="141"/>
  <c r="J37" i="141"/>
  <c r="M65" i="93"/>
  <c r="P7" i="93"/>
  <c r="J48" i="141"/>
  <c r="J51" i="141"/>
  <c r="J15" i="141"/>
  <c r="J12" i="141"/>
  <c r="Q7" i="93"/>
  <c r="P65" i="93"/>
  <c r="Q65" i="93"/>
  <c r="R39" i="93"/>
  <c r="R51" i="93"/>
  <c r="R22" i="93"/>
  <c r="R30" i="93"/>
  <c r="R37" i="93"/>
  <c r="R16" i="93"/>
  <c r="R33" i="93"/>
  <c r="R47" i="93"/>
  <c r="R20" i="93"/>
  <c r="R11" i="93"/>
  <c r="R24" i="93"/>
  <c r="R43" i="93"/>
  <c r="R42" i="93"/>
  <c r="R40" i="93"/>
  <c r="R48" i="93"/>
  <c r="R50" i="93"/>
  <c r="R35" i="93"/>
  <c r="R27" i="93"/>
  <c r="R34" i="93"/>
  <c r="R26" i="93"/>
  <c r="R38" i="93"/>
  <c r="R23" i="93"/>
  <c r="R12" i="93"/>
  <c r="R25" i="93"/>
  <c r="R55" i="93"/>
  <c r="R15" i="93"/>
  <c r="R29" i="93"/>
  <c r="R58" i="93"/>
  <c r="R59" i="93"/>
  <c r="R52" i="93"/>
  <c r="R8" i="93"/>
  <c r="R21" i="93"/>
  <c r="R62" i="93"/>
  <c r="R10" i="93"/>
  <c r="R54" i="93"/>
  <c r="R28" i="93"/>
  <c r="R61" i="93"/>
  <c r="R32" i="93"/>
  <c r="R56" i="93"/>
  <c r="R18" i="93"/>
  <c r="R64" i="93"/>
  <c r="R46" i="93"/>
  <c r="R31" i="93"/>
  <c r="R53" i="93"/>
  <c r="R44" i="93"/>
  <c r="R63" i="93"/>
  <c r="R19" i="93"/>
  <c r="R57" i="93"/>
  <c r="R17" i="93"/>
  <c r="R60" i="93"/>
  <c r="R7" i="93"/>
  <c r="S63" i="93"/>
  <c r="T63" i="93"/>
  <c r="T54" i="93"/>
  <c r="S54" i="93"/>
  <c r="S38" i="93"/>
  <c r="T38" i="93"/>
  <c r="S57" i="93"/>
  <c r="T57" i="93"/>
  <c r="T44" i="93"/>
  <c r="S44" i="93"/>
  <c r="S64" i="93"/>
  <c r="T64" i="93"/>
  <c r="T32" i="93"/>
  <c r="S32" i="93"/>
  <c r="S10" i="93"/>
  <c r="T10" i="93"/>
  <c r="S29" i="93"/>
  <c r="T29" i="93"/>
  <c r="T12" i="93"/>
  <c r="S12" i="93"/>
  <c r="T26" i="93"/>
  <c r="S26" i="93"/>
  <c r="S50" i="93"/>
  <c r="T50" i="93"/>
  <c r="T42" i="93"/>
  <c r="S42" i="93"/>
  <c r="S20" i="93"/>
  <c r="T20" i="93"/>
  <c r="S49" i="93"/>
  <c r="T49" i="93"/>
  <c r="T22" i="93"/>
  <c r="S22" i="93"/>
  <c r="T17" i="93"/>
  <c r="S17" i="93"/>
  <c r="S56" i="93"/>
  <c r="T56" i="93"/>
  <c r="T58" i="93"/>
  <c r="S58" i="93"/>
  <c r="T40" i="93"/>
  <c r="S40" i="93"/>
  <c r="T33" i="93"/>
  <c r="S33" i="93"/>
  <c r="T18" i="93"/>
  <c r="S18" i="93"/>
  <c r="T48" i="93"/>
  <c r="S48" i="93"/>
  <c r="S43" i="93"/>
  <c r="T43" i="93"/>
  <c r="S9" i="93"/>
  <c r="T9" i="93"/>
  <c r="S16" i="93"/>
  <c r="T16" i="93"/>
  <c r="S51" i="93"/>
  <c r="T51" i="93"/>
  <c r="H3" i="141"/>
  <c r="T46" i="93"/>
  <c r="S46" i="93"/>
  <c r="S21" i="93"/>
  <c r="T21" i="93"/>
  <c r="T25" i="93"/>
  <c r="S25" i="93"/>
  <c r="S35" i="93"/>
  <c r="T35" i="93"/>
  <c r="S11" i="93"/>
  <c r="T11" i="93"/>
  <c r="T30" i="93"/>
  <c r="S30" i="93"/>
  <c r="R65" i="93"/>
  <c r="T7" i="93"/>
  <c r="S7" i="93"/>
  <c r="S41" i="93"/>
  <c r="T41" i="93"/>
  <c r="S53" i="93"/>
  <c r="T53" i="93"/>
  <c r="T61" i="93"/>
  <c r="S61" i="93"/>
  <c r="T13" i="93"/>
  <c r="S13" i="93"/>
  <c r="S15" i="93"/>
  <c r="T15" i="93"/>
  <c r="S34" i="93"/>
  <c r="T34" i="93"/>
  <c r="T60" i="93"/>
  <c r="S60" i="93"/>
  <c r="T19" i="93"/>
  <c r="S19" i="93"/>
  <c r="T31" i="93"/>
  <c r="S31" i="93"/>
  <c r="S28" i="93"/>
  <c r="T28" i="93"/>
  <c r="T62" i="93"/>
  <c r="S62" i="93"/>
  <c r="S59" i="93"/>
  <c r="T59" i="93"/>
  <c r="S55" i="93"/>
  <c r="T55" i="93"/>
  <c r="T23" i="93"/>
  <c r="S23" i="93"/>
  <c r="S27" i="93"/>
  <c r="T27" i="93"/>
  <c r="S45" i="93"/>
  <c r="T45" i="93"/>
  <c r="T24" i="93"/>
  <c r="S24" i="93"/>
  <c r="T47" i="93"/>
  <c r="S47" i="93"/>
  <c r="S37" i="93"/>
  <c r="T37" i="93"/>
  <c r="S39" i="93"/>
  <c r="T39" i="93"/>
  <c r="K3" i="141"/>
  <c r="H61" i="141"/>
  <c r="S65" i="93"/>
  <c r="T65" i="93"/>
  <c r="K4" i="141"/>
  <c r="K10" i="141"/>
  <c r="K20" i="141"/>
  <c r="K23" i="141"/>
  <c r="K5" i="141"/>
  <c r="K41" i="141"/>
  <c r="K60" i="141"/>
  <c r="K18" i="141"/>
  <c r="K11" i="141"/>
  <c r="K19" i="141"/>
  <c r="K45" i="141"/>
  <c r="K30" i="141"/>
  <c r="K32" i="141"/>
  <c r="K29" i="141"/>
  <c r="K25" i="141"/>
  <c r="K50" i="141"/>
  <c r="K39" i="141"/>
  <c r="K49" i="141"/>
  <c r="K38" i="141"/>
  <c r="K27" i="141"/>
  <c r="K8" i="141"/>
  <c r="K31" i="141"/>
  <c r="K7" i="141"/>
  <c r="K47" i="141"/>
  <c r="K59" i="141"/>
  <c r="K57" i="141"/>
  <c r="K54" i="141"/>
  <c r="K55" i="141"/>
  <c r="K46" i="141"/>
  <c r="K40" i="141"/>
  <c r="K36" i="141"/>
  <c r="K43" i="141"/>
  <c r="K34" i="141"/>
  <c r="K26" i="141"/>
  <c r="K17" i="141"/>
  <c r="K24" i="141"/>
  <c r="K58" i="141"/>
  <c r="K52" i="141"/>
  <c r="K53" i="141"/>
  <c r="K9" i="141"/>
  <c r="K14" i="141"/>
  <c r="K28" i="141"/>
  <c r="K13" i="141"/>
  <c r="K35" i="141"/>
  <c r="K22" i="141"/>
  <c r="K44" i="141"/>
  <c r="K42" i="141"/>
  <c r="K6" i="141"/>
  <c r="K33" i="141"/>
  <c r="K56" i="141"/>
  <c r="K37" i="141"/>
  <c r="K48" i="141"/>
  <c r="K15" i="141"/>
  <c r="K16" i="141"/>
  <c r="K12" i="141"/>
  <c r="K21" i="141"/>
  <c r="K51" i="141"/>
  <c r="O40" i="93"/>
  <c r="O9" i="93"/>
  <c r="O13" i="93"/>
  <c r="O10" i="93"/>
  <c r="O55" i="93"/>
  <c r="O20" i="93"/>
  <c r="M14" i="93"/>
  <c r="P14" i="93"/>
  <c r="J36" i="93"/>
  <c r="N36" i="93"/>
  <c r="O36" i="93"/>
  <c r="M36" i="93"/>
  <c r="P36" i="93"/>
  <c r="K49" i="93"/>
  <c r="O49" i="93"/>
  <c r="J11" i="93"/>
  <c r="N11" i="93"/>
  <c r="O12" i="93"/>
  <c r="K11" i="93"/>
  <c r="O22" i="93"/>
  <c r="G20" i="146"/>
  <c r="T20" i="41"/>
  <c r="G65" i="146"/>
  <c r="G67" i="146"/>
  <c r="Q10" i="41"/>
  <c r="F65" i="143"/>
  <c r="F67" i="143"/>
  <c r="Q46" i="41"/>
  <c r="R38" i="41"/>
  <c r="F32" i="146"/>
  <c r="S32" i="41"/>
  <c r="K43" i="93"/>
  <c r="O43" i="93"/>
  <c r="R37" i="41"/>
  <c r="Q30" i="41"/>
  <c r="F27" i="146"/>
  <c r="S27" i="41"/>
  <c r="Q14" i="41"/>
  <c r="F11" i="146"/>
  <c r="S11" i="41"/>
  <c r="F65" i="146"/>
  <c r="F67" i="146"/>
  <c r="Y7" i="41"/>
  <c r="Q36" i="93"/>
  <c r="R36" i="93"/>
  <c r="S36" i="93"/>
  <c r="T36" i="93"/>
  <c r="Q14" i="93"/>
  <c r="R14" i="93"/>
  <c r="T14" i="93"/>
  <c r="S14" i="93"/>
  <c r="O11" i="93"/>
  <c r="F62" i="80"/>
  <c r="D64" i="80"/>
  <c r="F50" i="80"/>
  <c r="F46" i="80"/>
  <c r="F18" i="80"/>
  <c r="F14" i="80"/>
  <c r="F63" i="80"/>
  <c r="F61" i="80"/>
  <c r="F59" i="80"/>
  <c r="F60" i="80"/>
  <c r="F56" i="80"/>
  <c r="E67" i="143"/>
  <c r="G65" i="143"/>
  <c r="G67" i="143"/>
  <c r="F57" i="80"/>
  <c r="F55" i="80"/>
  <c r="F42" i="80"/>
  <c r="F38" i="80"/>
  <c r="F25" i="80"/>
  <c r="F23" i="80"/>
  <c r="F10" i="80"/>
  <c r="F51" i="80"/>
  <c r="F45" i="80"/>
  <c r="F19" i="80"/>
  <c r="F13" i="80"/>
  <c r="F58" i="80"/>
  <c r="F54" i="80"/>
  <c r="F52" i="80"/>
  <c r="F44" i="80"/>
  <c r="F41" i="80"/>
  <c r="F39" i="80"/>
  <c r="F26" i="80"/>
  <c r="F22" i="80"/>
  <c r="F20" i="80"/>
  <c r="C64" i="80"/>
  <c r="F64" i="80"/>
  <c r="F8" i="80"/>
  <c r="F12" i="80"/>
  <c r="F9" i="80"/>
  <c r="F6" i="80"/>
  <c r="F48" i="80"/>
  <c r="F32" i="80"/>
  <c r="F16" i="80"/>
  <c r="K12" i="41"/>
  <c r="K20" i="41"/>
  <c r="K16" i="41"/>
  <c r="K14" i="41"/>
  <c r="L14" i="41"/>
  <c r="K47" i="41"/>
  <c r="K45" i="41"/>
  <c r="K41" i="41"/>
  <c r="K33" i="41"/>
  <c r="L33" i="41"/>
  <c r="K31" i="41"/>
  <c r="K59" i="41"/>
  <c r="L8" i="41"/>
  <c r="L11" i="41"/>
  <c r="L9" i="41"/>
  <c r="L21" i="41"/>
  <c r="L19" i="41"/>
  <c r="L17" i="41"/>
  <c r="L15" i="41"/>
  <c r="L13" i="41"/>
  <c r="L50" i="41"/>
  <c r="L48" i="41"/>
  <c r="L46" i="41"/>
  <c r="L44" i="41"/>
  <c r="L42" i="41"/>
  <c r="L40" i="41"/>
  <c r="L38" i="41"/>
  <c r="L36" i="41"/>
  <c r="L34" i="41"/>
  <c r="L32" i="41"/>
  <c r="L30" i="41"/>
  <c r="L28" i="41"/>
  <c r="L26" i="41"/>
  <c r="L24" i="41"/>
  <c r="L58" i="41"/>
  <c r="L56" i="41"/>
  <c r="L54" i="41"/>
  <c r="L64" i="41"/>
  <c r="L62" i="41"/>
  <c r="L60" i="41"/>
  <c r="L52" i="41"/>
  <c r="L7" i="41"/>
  <c r="L65" i="41"/>
  <c r="L12" i="41"/>
  <c r="L10" i="41"/>
  <c r="L22" i="41"/>
  <c r="L20" i="41"/>
  <c r="L18" i="41"/>
  <c r="L16" i="41"/>
  <c r="L51" i="41"/>
  <c r="L49" i="41"/>
  <c r="L47" i="41"/>
  <c r="L45" i="41"/>
  <c r="L43" i="41"/>
  <c r="L41" i="41"/>
  <c r="L39" i="41"/>
  <c r="L37" i="41"/>
  <c r="L35" i="41"/>
  <c r="L31" i="41"/>
  <c r="L29" i="41"/>
  <c r="L27" i="41"/>
  <c r="L25" i="41"/>
  <c r="L23" i="41"/>
  <c r="L57" i="41"/>
  <c r="L55" i="41"/>
  <c r="L53" i="41"/>
  <c r="L59" i="41"/>
  <c r="E63" i="148"/>
  <c r="AA65" i="41"/>
  <c r="Y24" i="41"/>
  <c r="E57" i="72"/>
  <c r="F57" i="72"/>
  <c r="K57" i="72"/>
  <c r="Y58" i="41"/>
  <c r="F53" i="41"/>
  <c r="F49" i="41"/>
  <c r="F35" i="41"/>
  <c r="F29" i="41"/>
  <c r="F23" i="41"/>
  <c r="F18" i="41"/>
  <c r="E17" i="72"/>
  <c r="F17" i="72"/>
  <c r="K17" i="72"/>
  <c r="F14" i="41"/>
  <c r="Y14" i="41"/>
  <c r="F63" i="41"/>
  <c r="F50" i="41"/>
  <c r="F45" i="41"/>
  <c r="E44" i="72"/>
  <c r="F44" i="72"/>
  <c r="K44" i="72"/>
  <c r="F36" i="41"/>
  <c r="E35" i="72"/>
  <c r="F35" i="72"/>
  <c r="F30" i="41"/>
  <c r="F19" i="41"/>
  <c r="E18" i="72"/>
  <c r="F18" i="72"/>
  <c r="K18" i="72"/>
  <c r="E28" i="72"/>
  <c r="F28" i="72"/>
  <c r="K28" i="72"/>
  <c r="Y29" i="41"/>
  <c r="Y34" i="41"/>
  <c r="D65" i="41"/>
  <c r="F62" i="41"/>
  <c r="Y62" i="41"/>
  <c r="F43" i="41"/>
  <c r="Y43" i="41"/>
  <c r="F38" i="41"/>
  <c r="E37" i="72"/>
  <c r="F37" i="72"/>
  <c r="E33" i="72"/>
  <c r="F33" i="72"/>
  <c r="E30" i="72"/>
  <c r="F30" i="72"/>
  <c r="E27" i="72"/>
  <c r="F27" i="72"/>
  <c r="F25" i="41"/>
  <c r="Y25" i="41"/>
  <c r="F8" i="41"/>
  <c r="Y28" i="41"/>
  <c r="F47" i="41"/>
  <c r="F42" i="41"/>
  <c r="Y38" i="41"/>
  <c r="Y16" i="41"/>
  <c r="Y12" i="41"/>
  <c r="E24" i="72"/>
  <c r="F24" i="72"/>
  <c r="K24" i="72"/>
  <c r="E41" i="72"/>
  <c r="F41" i="72"/>
  <c r="K41" i="72"/>
  <c r="Y42" i="41"/>
  <c r="Y19" i="41"/>
  <c r="E65" i="41"/>
  <c r="F59" i="41"/>
  <c r="Y59" i="41"/>
  <c r="F57" i="41"/>
  <c r="E56" i="72"/>
  <c r="F56" i="72"/>
  <c r="K56" i="72"/>
  <c r="F51" i="41"/>
  <c r="E50" i="72"/>
  <c r="F50" i="72"/>
  <c r="F40" i="41"/>
  <c r="F37" i="41"/>
  <c r="F21" i="41"/>
  <c r="F15" i="41"/>
  <c r="F10" i="41"/>
  <c r="E9" i="72"/>
  <c r="F9" i="72"/>
  <c r="K9" i="72"/>
  <c r="Y13" i="41"/>
  <c r="Y31" i="41"/>
  <c r="Y45" i="41"/>
  <c r="Y9" i="41"/>
  <c r="Y20" i="41"/>
  <c r="E60" i="72"/>
  <c r="F60" i="72"/>
  <c r="F60" i="41"/>
  <c r="Y60" i="41"/>
  <c r="F52" i="41"/>
  <c r="Y52" i="41"/>
  <c r="E45" i="72"/>
  <c r="F45" i="72"/>
  <c r="K45" i="72"/>
  <c r="F44" i="41"/>
  <c r="E43" i="72"/>
  <c r="F43" i="72"/>
  <c r="K43" i="72"/>
  <c r="F41" i="41"/>
  <c r="E23" i="72"/>
  <c r="F23" i="72"/>
  <c r="F22" i="41"/>
  <c r="F17" i="41"/>
  <c r="F11" i="41"/>
  <c r="E10" i="72"/>
  <c r="F10" i="72"/>
  <c r="E54" i="72"/>
  <c r="F54" i="72"/>
  <c r="Y55" i="41"/>
  <c r="E58" i="72"/>
  <c r="F58" i="72"/>
  <c r="Y51" i="41"/>
  <c r="E62" i="72"/>
  <c r="F62" i="72"/>
  <c r="K62" i="72"/>
  <c r="Y63" i="41"/>
  <c r="E63" i="72"/>
  <c r="F63" i="72"/>
  <c r="K63" i="72"/>
  <c r="Y64" i="41"/>
  <c r="E55" i="72"/>
  <c r="F55" i="72"/>
  <c r="Y56" i="41"/>
  <c r="Y54" i="41"/>
  <c r="Y50" i="41"/>
  <c r="E38" i="72"/>
  <c r="F38" i="72"/>
  <c r="K38" i="72"/>
  <c r="Y39" i="41"/>
  <c r="E31" i="72"/>
  <c r="F31" i="72"/>
  <c r="E25" i="72"/>
  <c r="F25" i="72"/>
  <c r="Y26" i="41"/>
  <c r="E22" i="72"/>
  <c r="F22" i="72"/>
  <c r="K22" i="72"/>
  <c r="Y23" i="41"/>
  <c r="Y18" i="41"/>
  <c r="Y36" i="41"/>
  <c r="Y57" i="41"/>
  <c r="Y37" i="41"/>
  <c r="Y33" i="41"/>
  <c r="E32" i="72"/>
  <c r="F32" i="72"/>
  <c r="E29" i="72"/>
  <c r="F29" i="72"/>
  <c r="K29" i="72"/>
  <c r="Y30" i="41"/>
  <c r="E26" i="72"/>
  <c r="F26" i="72"/>
  <c r="E13" i="72"/>
  <c r="F13" i="72"/>
  <c r="E51" i="72"/>
  <c r="F51" i="72"/>
  <c r="Y49" i="41"/>
  <c r="E48" i="72"/>
  <c r="F48" i="72"/>
  <c r="K48" i="72"/>
  <c r="Y32" i="41"/>
  <c r="Y47" i="41"/>
  <c r="Y21" i="41"/>
  <c r="E53" i="72"/>
  <c r="F53" i="72"/>
  <c r="K53" i="72"/>
  <c r="E49" i="72"/>
  <c r="F49" i="72"/>
  <c r="K49" i="72"/>
  <c r="E47" i="72"/>
  <c r="F47" i="72"/>
  <c r="Y48" i="41"/>
  <c r="Y11" i="41"/>
  <c r="E19" i="72"/>
  <c r="F19" i="72"/>
  <c r="E15" i="72"/>
  <c r="F15" i="72"/>
  <c r="K15" i="72"/>
  <c r="E11" i="72"/>
  <c r="F11" i="72"/>
  <c r="K12" i="72"/>
  <c r="K55" i="72"/>
  <c r="K33" i="72"/>
  <c r="D4" i="72"/>
  <c r="D47" i="72"/>
  <c r="H34" i="41"/>
  <c r="H62" i="41"/>
  <c r="H16" i="41"/>
  <c r="H39" i="41"/>
  <c r="H27" i="41"/>
  <c r="H20" i="41"/>
  <c r="D27" i="72"/>
  <c r="I28" i="41"/>
  <c r="D42" i="72"/>
  <c r="H7" i="41"/>
  <c r="D8" i="72"/>
  <c r="H24" i="41"/>
  <c r="H60" i="41"/>
  <c r="D60" i="72"/>
  <c r="I61" i="41"/>
  <c r="D44" i="72"/>
  <c r="H44" i="72"/>
  <c r="D25" i="72"/>
  <c r="D13" i="72"/>
  <c r="I14" i="41"/>
  <c r="D53" i="72"/>
  <c r="D36" i="72"/>
  <c r="D22" i="72"/>
  <c r="D6" i="72"/>
  <c r="D50" i="72"/>
  <c r="D37" i="72"/>
  <c r="I38" i="41"/>
  <c r="D28" i="72"/>
  <c r="D15" i="72"/>
  <c r="D59" i="72"/>
  <c r="D43" i="72"/>
  <c r="H33" i="41"/>
  <c r="D16" i="72"/>
  <c r="I17" i="41"/>
  <c r="H29" i="41"/>
  <c r="H53" i="41"/>
  <c r="H51" i="41"/>
  <c r="H50" i="41"/>
  <c r="H26" i="41"/>
  <c r="D35" i="72"/>
  <c r="D61" i="72"/>
  <c r="D14" i="72"/>
  <c r="D32" i="72"/>
  <c r="D51" i="72"/>
  <c r="I52" i="41"/>
  <c r="D24" i="72"/>
  <c r="H19" i="41"/>
  <c r="H55" i="41"/>
  <c r="H54" i="41"/>
  <c r="H46" i="41"/>
  <c r="D56" i="72"/>
  <c r="D40" i="72"/>
  <c r="I41" i="41"/>
  <c r="D21" i="72"/>
  <c r="D9" i="72"/>
  <c r="D49" i="72"/>
  <c r="D31" i="72"/>
  <c r="D18" i="72"/>
  <c r="D62" i="72"/>
  <c r="D46" i="72"/>
  <c r="D33" i="72"/>
  <c r="H28" i="41"/>
  <c r="D11" i="72"/>
  <c r="I12" i="41"/>
  <c r="D55" i="72"/>
  <c r="D39" i="72"/>
  <c r="D29" i="72"/>
  <c r="D12" i="72"/>
  <c r="H38" i="41"/>
  <c r="H12" i="41"/>
  <c r="H13" i="41"/>
  <c r="H32" i="41"/>
  <c r="H49" i="41"/>
  <c r="H56" i="41"/>
  <c r="D52" i="72"/>
  <c r="I53" i="41"/>
  <c r="D45" i="72"/>
  <c r="D58" i="72"/>
  <c r="D23" i="72"/>
  <c r="I24" i="41"/>
  <c r="D34" i="72"/>
  <c r="H58" i="41"/>
  <c r="K13" i="72"/>
  <c r="H15" i="41"/>
  <c r="H47" i="41"/>
  <c r="K27" i="72"/>
  <c r="H35" i="41"/>
  <c r="H30" i="41"/>
  <c r="H21" i="41"/>
  <c r="H42" i="41"/>
  <c r="H41" i="41"/>
  <c r="H37" i="41"/>
  <c r="H8" i="41"/>
  <c r="H23" i="41"/>
  <c r="K58" i="72"/>
  <c r="H64" i="41"/>
  <c r="E46" i="72"/>
  <c r="F46" i="72"/>
  <c r="K46" i="72"/>
  <c r="Y35" i="41"/>
  <c r="Y41" i="41"/>
  <c r="H14" i="41"/>
  <c r="E34" i="72"/>
  <c r="F34" i="72"/>
  <c r="K34" i="72"/>
  <c r="E61" i="72"/>
  <c r="F61" i="72"/>
  <c r="K61" i="72"/>
  <c r="H10" i="41"/>
  <c r="Y44" i="41"/>
  <c r="E42" i="72"/>
  <c r="F42" i="72"/>
  <c r="K42" i="72"/>
  <c r="H18" i="41"/>
  <c r="H36" i="41"/>
  <c r="E52" i="72"/>
  <c r="F52" i="72"/>
  <c r="Y53" i="41"/>
  <c r="I47" i="41"/>
  <c r="I43" i="41"/>
  <c r="H43" i="41"/>
  <c r="I59" i="41"/>
  <c r="H11" i="41"/>
  <c r="Y10" i="41"/>
  <c r="E59" i="72"/>
  <c r="F59" i="72"/>
  <c r="K59" i="72"/>
  <c r="H45" i="41"/>
  <c r="F65" i="41"/>
  <c r="H44" i="41"/>
  <c r="E7" i="72"/>
  <c r="F7" i="72"/>
  <c r="Y15" i="41"/>
  <c r="E36" i="72"/>
  <c r="F36" i="72"/>
  <c r="H59" i="41"/>
  <c r="H25" i="41"/>
  <c r="Y8" i="41"/>
  <c r="E20" i="72"/>
  <c r="F20" i="72"/>
  <c r="K20" i="72"/>
  <c r="H57" i="41"/>
  <c r="E14" i="72"/>
  <c r="F14" i="72"/>
  <c r="K14" i="72"/>
  <c r="E40" i="72"/>
  <c r="F40" i="72"/>
  <c r="E16" i="72"/>
  <c r="F16" i="72"/>
  <c r="K16" i="72"/>
  <c r="Y17" i="41"/>
  <c r="H17" i="41"/>
  <c r="E39" i="72"/>
  <c r="F39" i="72"/>
  <c r="Y40" i="41"/>
  <c r="H40" i="41"/>
  <c r="H52" i="41"/>
  <c r="E21" i="72"/>
  <c r="F21" i="72"/>
  <c r="K21" i="72"/>
  <c r="H22" i="41"/>
  <c r="Y22" i="41"/>
  <c r="K32" i="72"/>
  <c r="K50" i="72"/>
  <c r="K25" i="72"/>
  <c r="K26" i="72"/>
  <c r="K36" i="72"/>
  <c r="K35" i="72"/>
  <c r="K47" i="72"/>
  <c r="K54" i="72"/>
  <c r="H46" i="72"/>
  <c r="H42" i="72"/>
  <c r="I35" i="41"/>
  <c r="H34" i="72"/>
  <c r="I30" i="41"/>
  <c r="H29" i="72"/>
  <c r="I19" i="41"/>
  <c r="H18" i="72"/>
  <c r="I22" i="41"/>
  <c r="H21" i="72"/>
  <c r="I36" i="41"/>
  <c r="H35" i="72"/>
  <c r="I44" i="41"/>
  <c r="H43" i="72"/>
  <c r="I37" i="41"/>
  <c r="H36" i="72"/>
  <c r="I45" i="41"/>
  <c r="I40" i="41"/>
  <c r="H39" i="72"/>
  <c r="I34" i="41"/>
  <c r="H33" i="72"/>
  <c r="I33" i="41"/>
  <c r="H32" i="72"/>
  <c r="I60" i="41"/>
  <c r="H59" i="72"/>
  <c r="I51" i="41"/>
  <c r="H50" i="72"/>
  <c r="I54" i="41"/>
  <c r="H53" i="72"/>
  <c r="I56" i="41"/>
  <c r="H55" i="72"/>
  <c r="I50" i="41"/>
  <c r="H49" i="72"/>
  <c r="I57" i="41"/>
  <c r="H56" i="72"/>
  <c r="I15" i="41"/>
  <c r="H14" i="72"/>
  <c r="I16" i="41"/>
  <c r="H15" i="72"/>
  <c r="I7" i="41"/>
  <c r="H6" i="72"/>
  <c r="I48" i="41"/>
  <c r="H47" i="72"/>
  <c r="I46" i="41"/>
  <c r="H45" i="72"/>
  <c r="I13" i="41"/>
  <c r="H12" i="72"/>
  <c r="I63" i="41"/>
  <c r="H62" i="72"/>
  <c r="I10" i="41"/>
  <c r="H9" i="72"/>
  <c r="I25" i="41"/>
  <c r="H24" i="72"/>
  <c r="I62" i="41"/>
  <c r="H61" i="72"/>
  <c r="I29" i="41"/>
  <c r="H28" i="72"/>
  <c r="I23" i="41"/>
  <c r="H22" i="72"/>
  <c r="I26" i="41"/>
  <c r="H25" i="72"/>
  <c r="K52" i="72"/>
  <c r="H9" i="41"/>
  <c r="H63" i="41"/>
  <c r="D7" i="72"/>
  <c r="I8" i="41"/>
  <c r="D38" i="72"/>
  <c r="H48" i="41"/>
  <c r="H61" i="41"/>
  <c r="D20" i="72"/>
  <c r="D10" i="72"/>
  <c r="K10" i="72"/>
  <c r="K37" i="72"/>
  <c r="D19" i="72"/>
  <c r="I20" i="41"/>
  <c r="D26" i="72"/>
  <c r="H31" i="41"/>
  <c r="D41" i="72"/>
  <c r="K19" i="72"/>
  <c r="D17" i="72"/>
  <c r="D30" i="72"/>
  <c r="K30" i="72"/>
  <c r="K11" i="72"/>
  <c r="D48" i="72"/>
  <c r="D63" i="72"/>
  <c r="D54" i="72"/>
  <c r="D57" i="72"/>
  <c r="K51" i="72"/>
  <c r="K40" i="72"/>
  <c r="I11" i="41"/>
  <c r="K23" i="72"/>
  <c r="K60" i="72"/>
  <c r="K8" i="72"/>
  <c r="I9" i="41"/>
  <c r="K31" i="72"/>
  <c r="I32" i="41"/>
  <c r="Y65" i="41"/>
  <c r="K39" i="72"/>
  <c r="I64" i="41"/>
  <c r="H63" i="72"/>
  <c r="I18" i="41"/>
  <c r="H17" i="72"/>
  <c r="I27" i="41"/>
  <c r="H26" i="72"/>
  <c r="I21" i="41"/>
  <c r="H20" i="72"/>
  <c r="I55" i="41"/>
  <c r="H54" i="72"/>
  <c r="I39" i="41"/>
  <c r="H38" i="72"/>
  <c r="I31" i="41"/>
  <c r="I49" i="41"/>
  <c r="H48" i="72"/>
  <c r="I58" i="41"/>
  <c r="H57" i="72"/>
  <c r="I42" i="41"/>
  <c r="H41" i="72"/>
  <c r="K7" i="72"/>
  <c r="K64" i="72"/>
  <c r="H66" i="72"/>
  <c r="D67" i="72"/>
  <c r="G55" i="72"/>
  <c r="G15" i="72"/>
  <c r="G44" i="72"/>
  <c r="G42" i="72"/>
  <c r="G48" i="72"/>
  <c r="G6" i="72"/>
  <c r="G24" i="72"/>
  <c r="G20" i="72"/>
  <c r="G35" i="72"/>
  <c r="G41" i="72"/>
  <c r="G38" i="72"/>
  <c r="G54" i="72"/>
  <c r="G46" i="72"/>
  <c r="G43" i="72"/>
  <c r="G57" i="72"/>
  <c r="G28" i="72"/>
  <c r="G45" i="72"/>
  <c r="G63" i="72"/>
  <c r="G50" i="72"/>
  <c r="G13" i="72"/>
  <c r="H13" i="72"/>
  <c r="G31" i="72"/>
  <c r="H31" i="72"/>
  <c r="G11" i="72"/>
  <c r="H11" i="72"/>
  <c r="G16" i="72"/>
  <c r="H16" i="72"/>
  <c r="G49" i="72"/>
  <c r="G22" i="72"/>
  <c r="G40" i="72"/>
  <c r="H40" i="72"/>
  <c r="G52" i="72"/>
  <c r="H52" i="72"/>
  <c r="G23" i="72"/>
  <c r="H23" i="72"/>
  <c r="G61" i="72"/>
  <c r="G18" i="72"/>
  <c r="G29" i="72"/>
  <c r="G21" i="72"/>
  <c r="G9" i="72"/>
  <c r="G53" i="72"/>
  <c r="G32" i="72"/>
  <c r="G4" i="72"/>
  <c r="G37" i="72"/>
  <c r="H37" i="72"/>
  <c r="G8" i="72"/>
  <c r="H8" i="72"/>
  <c r="G36" i="72"/>
  <c r="G14" i="72"/>
  <c r="G56" i="72"/>
  <c r="G62" i="72"/>
  <c r="G34" i="72"/>
  <c r="G17" i="72"/>
  <c r="G26" i="72"/>
  <c r="G39" i="72"/>
  <c r="G47" i="72"/>
  <c r="G25" i="72"/>
  <c r="G33" i="72"/>
  <c r="G12" i="72"/>
  <c r="G59" i="72"/>
  <c r="G19" i="72"/>
  <c r="H19" i="72"/>
  <c r="G51" i="72"/>
  <c r="H51" i="72"/>
  <c r="G60" i="72"/>
  <c r="H60" i="72"/>
  <c r="G58" i="72"/>
  <c r="H58" i="72"/>
  <c r="G7" i="72"/>
  <c r="H7" i="72"/>
  <c r="G10" i="72"/>
  <c r="H10" i="72"/>
  <c r="G30" i="72"/>
  <c r="H30" i="72"/>
  <c r="G27" i="72"/>
  <c r="H27" i="72"/>
  <c r="V50" i="41"/>
  <c r="J50" i="41"/>
  <c r="O50" i="41"/>
  <c r="U50" i="41"/>
  <c r="V55" i="41"/>
  <c r="U55" i="41"/>
  <c r="J55" i="41"/>
  <c r="O55" i="41"/>
  <c r="U28" i="41"/>
  <c r="J28" i="41"/>
  <c r="O28" i="41"/>
  <c r="V28" i="41"/>
  <c r="U59" i="41"/>
  <c r="J59" i="41"/>
  <c r="O59" i="41"/>
  <c r="V59" i="41"/>
  <c r="V60" i="41"/>
  <c r="U60" i="41"/>
  <c r="J60" i="41"/>
  <c r="O60" i="41"/>
  <c r="V48" i="41"/>
  <c r="J48" i="41"/>
  <c r="O48" i="41"/>
  <c r="U48" i="41"/>
  <c r="V35" i="41"/>
  <c r="J35" i="41"/>
  <c r="O35" i="41"/>
  <c r="U35" i="41"/>
  <c r="V37" i="41"/>
  <c r="J37" i="41"/>
  <c r="O37" i="41"/>
  <c r="U37" i="41"/>
  <c r="J33" i="41"/>
  <c r="O33" i="41"/>
  <c r="U33" i="41"/>
  <c r="V33" i="41"/>
  <c r="V30" i="41"/>
  <c r="J30" i="41"/>
  <c r="O30" i="41"/>
  <c r="U30" i="41"/>
  <c r="V53" i="41"/>
  <c r="U53" i="41"/>
  <c r="J53" i="41"/>
  <c r="O53" i="41"/>
  <c r="J17" i="41"/>
  <c r="O17" i="41"/>
  <c r="V17" i="41"/>
  <c r="U17" i="41"/>
  <c r="U51" i="41"/>
  <c r="V51" i="41"/>
  <c r="J51" i="41"/>
  <c r="O51" i="41"/>
  <c r="V58" i="41"/>
  <c r="U58" i="41"/>
  <c r="J58" i="41"/>
  <c r="O58" i="41"/>
  <c r="J39" i="41"/>
  <c r="O39" i="41"/>
  <c r="V39" i="41"/>
  <c r="U39" i="41"/>
  <c r="U25" i="41"/>
  <c r="V25" i="41"/>
  <c r="J25" i="41"/>
  <c r="O25" i="41"/>
  <c r="J45" i="41"/>
  <c r="O45" i="41"/>
  <c r="U45" i="41"/>
  <c r="V45" i="41"/>
  <c r="V8" i="41"/>
  <c r="J8" i="41"/>
  <c r="O8" i="41"/>
  <c r="U8" i="41"/>
  <c r="U20" i="41"/>
  <c r="J20" i="41"/>
  <c r="O20" i="41"/>
  <c r="V20" i="41"/>
  <c r="U15" i="41"/>
  <c r="J15" i="41"/>
  <c r="O15" i="41"/>
  <c r="V15" i="41"/>
  <c r="V24" i="41"/>
  <c r="U24" i="41"/>
  <c r="J24" i="41"/>
  <c r="O24" i="41"/>
  <c r="V14" i="41"/>
  <c r="J14" i="41"/>
  <c r="O14" i="41"/>
  <c r="U14" i="41"/>
  <c r="J21" i="41"/>
  <c r="O21" i="41"/>
  <c r="U21" i="41"/>
  <c r="V21" i="41"/>
  <c r="J31" i="41"/>
  <c r="O31" i="41"/>
  <c r="V31" i="41"/>
  <c r="U31" i="41"/>
  <c r="U61" i="41"/>
  <c r="J61" i="41"/>
  <c r="O61" i="41"/>
  <c r="V61" i="41"/>
  <c r="J13" i="41"/>
  <c r="O13" i="41"/>
  <c r="V13" i="41"/>
  <c r="U13" i="41"/>
  <c r="J40" i="41"/>
  <c r="O40" i="41"/>
  <c r="V40" i="41"/>
  <c r="U40" i="41"/>
  <c r="V63" i="41"/>
  <c r="U63" i="41"/>
  <c r="J63" i="41"/>
  <c r="O63" i="41"/>
  <c r="J9" i="41"/>
  <c r="O9" i="41"/>
  <c r="V9" i="41"/>
  <c r="U9" i="41"/>
  <c r="U54" i="41"/>
  <c r="V54" i="41"/>
  <c r="J54" i="41"/>
  <c r="O54" i="41"/>
  <c r="V19" i="41"/>
  <c r="U19" i="41"/>
  <c r="J19" i="41"/>
  <c r="O19" i="41"/>
  <c r="V41" i="41"/>
  <c r="U41" i="41"/>
  <c r="J41" i="41"/>
  <c r="O41" i="41"/>
  <c r="J12" i="41"/>
  <c r="O12" i="41"/>
  <c r="V12" i="41"/>
  <c r="U12" i="41"/>
  <c r="V64" i="41"/>
  <c r="U64" i="41"/>
  <c r="J64" i="41"/>
  <c r="O64" i="41"/>
  <c r="U44" i="41"/>
  <c r="V44" i="41"/>
  <c r="J44" i="41"/>
  <c r="O44" i="41"/>
  <c r="V42" i="41"/>
  <c r="J42" i="41"/>
  <c r="O42" i="41"/>
  <c r="U42" i="41"/>
  <c r="W42" i="41"/>
  <c r="U7" i="41"/>
  <c r="V7" i="41"/>
  <c r="J7" i="41"/>
  <c r="O7" i="41"/>
  <c r="J16" i="41"/>
  <c r="O16" i="41"/>
  <c r="V16" i="41"/>
  <c r="U16" i="41"/>
  <c r="J26" i="41"/>
  <c r="O26" i="41"/>
  <c r="U26" i="41"/>
  <c r="V26" i="41"/>
  <c r="J18" i="41"/>
  <c r="O18" i="41"/>
  <c r="U18" i="41"/>
  <c r="V18" i="41"/>
  <c r="U22" i="41"/>
  <c r="J22" i="41"/>
  <c r="O22" i="41"/>
  <c r="V22" i="41"/>
  <c r="J29" i="41"/>
  <c r="O29" i="41"/>
  <c r="V29" i="41"/>
  <c r="U29" i="41"/>
  <c r="V43" i="41"/>
  <c r="J43" i="41"/>
  <c r="O43" i="41"/>
  <c r="U43" i="41"/>
  <c r="J11" i="41"/>
  <c r="O11" i="41"/>
  <c r="U11" i="41"/>
  <c r="V11" i="41"/>
  <c r="J52" i="41"/>
  <c r="O52" i="41"/>
  <c r="V52" i="41"/>
  <c r="U52" i="41"/>
  <c r="U34" i="41"/>
  <c r="V34" i="41"/>
  <c r="J34" i="41"/>
  <c r="O34" i="41"/>
  <c r="U27" i="41"/>
  <c r="V27" i="41"/>
  <c r="J27" i="41"/>
  <c r="O27" i="41"/>
  <c r="U57" i="41"/>
  <c r="J57" i="41"/>
  <c r="O57" i="41"/>
  <c r="V57" i="41"/>
  <c r="V38" i="41"/>
  <c r="J38" i="41"/>
  <c r="O38" i="41"/>
  <c r="U38" i="41"/>
  <c r="V10" i="41"/>
  <c r="U10" i="41"/>
  <c r="J10" i="41"/>
  <c r="O10" i="41"/>
  <c r="V62" i="41"/>
  <c r="J62" i="41"/>
  <c r="O62" i="41"/>
  <c r="U62" i="41"/>
  <c r="U23" i="41"/>
  <c r="J23" i="41"/>
  <c r="O23" i="41"/>
  <c r="V23" i="41"/>
  <c r="U32" i="41"/>
  <c r="V32" i="41"/>
  <c r="J32" i="41"/>
  <c r="O32" i="41"/>
  <c r="V46" i="41"/>
  <c r="U46" i="41"/>
  <c r="J46" i="41"/>
  <c r="O46" i="41"/>
  <c r="V47" i="41"/>
  <c r="U47" i="41"/>
  <c r="J47" i="41"/>
  <c r="O47" i="41"/>
  <c r="V36" i="41"/>
  <c r="J36" i="41"/>
  <c r="O36" i="41"/>
  <c r="U36" i="41"/>
  <c r="W36" i="41"/>
  <c r="J49" i="41"/>
  <c r="O49" i="41"/>
  <c r="V49" i="41"/>
  <c r="U49" i="41"/>
  <c r="V56" i="41"/>
  <c r="U56" i="41"/>
  <c r="J56" i="41"/>
  <c r="O56" i="41"/>
  <c r="W37" i="41"/>
  <c r="AB37" i="41"/>
  <c r="AD37" i="41"/>
  <c r="W34" i="41"/>
  <c r="AB34" i="41"/>
  <c r="D34" i="93"/>
  <c r="W26" i="41"/>
  <c r="AB26" i="41"/>
  <c r="D26" i="93"/>
  <c r="W54" i="41"/>
  <c r="AB54" i="41"/>
  <c r="AD54" i="41"/>
  <c r="W21" i="41"/>
  <c r="AB21" i="41"/>
  <c r="AB36" i="41"/>
  <c r="I32" i="141"/>
  <c r="O32" i="141"/>
  <c r="P32" i="141"/>
  <c r="W47" i="41"/>
  <c r="AB47" i="41"/>
  <c r="W19" i="41"/>
  <c r="AB19" i="41"/>
  <c r="I15" i="141"/>
  <c r="O15" i="141"/>
  <c r="P15" i="141"/>
  <c r="W31" i="41"/>
  <c r="AB31" i="41"/>
  <c r="I27" i="141"/>
  <c r="O27" i="141"/>
  <c r="P27" i="141"/>
  <c r="W17" i="41"/>
  <c r="AB17" i="41"/>
  <c r="I13" i="141"/>
  <c r="O13" i="141"/>
  <c r="P13" i="141"/>
  <c r="W53" i="41"/>
  <c r="AB53" i="41"/>
  <c r="D53" i="93"/>
  <c r="W45" i="41"/>
  <c r="AB45" i="41"/>
  <c r="W25" i="41"/>
  <c r="AB25" i="41"/>
  <c r="W62" i="41"/>
  <c r="AB62" i="41"/>
  <c r="W43" i="41"/>
  <c r="AB43" i="41"/>
  <c r="W22" i="41"/>
  <c r="AB22" i="41"/>
  <c r="W61" i="41"/>
  <c r="AB61" i="41"/>
  <c r="W35" i="41"/>
  <c r="AB35" i="41"/>
  <c r="W32" i="41"/>
  <c r="AB32" i="41"/>
  <c r="W51" i="41"/>
  <c r="AB51" i="41"/>
  <c r="W49" i="41"/>
  <c r="AB49" i="41"/>
  <c r="W52" i="41"/>
  <c r="AB52" i="41"/>
  <c r="W12" i="41"/>
  <c r="AB12" i="41"/>
  <c r="W28" i="41"/>
  <c r="AB28" i="41"/>
  <c r="W50" i="41"/>
  <c r="AB50" i="41"/>
  <c r="W38" i="41"/>
  <c r="AB38" i="41"/>
  <c r="W27" i="41"/>
  <c r="AB27" i="41"/>
  <c r="AD27" i="41"/>
  <c r="W11" i="41"/>
  <c r="AB11" i="41"/>
  <c r="W18" i="41"/>
  <c r="AB18" i="41"/>
  <c r="O65" i="41"/>
  <c r="AB42" i="41"/>
  <c r="W44" i="41"/>
  <c r="AB44" i="41"/>
  <c r="W41" i="41"/>
  <c r="AB41" i="41"/>
  <c r="W9" i="41"/>
  <c r="AB9" i="41"/>
  <c r="W63" i="41"/>
  <c r="AB63" i="41"/>
  <c r="W20" i="41"/>
  <c r="AB20" i="41"/>
  <c r="W23" i="41"/>
  <c r="AB23" i="41"/>
  <c r="W57" i="41"/>
  <c r="AB57" i="41"/>
  <c r="W29" i="41"/>
  <c r="AB29" i="41"/>
  <c r="W16" i="41"/>
  <c r="AB16" i="41"/>
  <c r="V65" i="41"/>
  <c r="W13" i="41"/>
  <c r="AB13" i="41"/>
  <c r="W14" i="41"/>
  <c r="AB14" i="41"/>
  <c r="W24" i="41"/>
  <c r="AB24" i="41"/>
  <c r="W15" i="41"/>
  <c r="AB15" i="41"/>
  <c r="W8" i="41"/>
  <c r="AB8" i="41"/>
  <c r="I4" i="141"/>
  <c r="O4" i="141"/>
  <c r="W30" i="41"/>
  <c r="AB30" i="41"/>
  <c r="W33" i="41"/>
  <c r="AB33" i="41"/>
  <c r="W48" i="41"/>
  <c r="AB48" i="41"/>
  <c r="W60" i="41"/>
  <c r="AB60" i="41"/>
  <c r="W59" i="41"/>
  <c r="AB59" i="41"/>
  <c r="W56" i="41"/>
  <c r="AB56" i="41"/>
  <c r="W46" i="41"/>
  <c r="AB46" i="41"/>
  <c r="W10" i="41"/>
  <c r="AB10" i="41"/>
  <c r="W7" i="41"/>
  <c r="U65" i="41"/>
  <c r="W64" i="41"/>
  <c r="AB64" i="41"/>
  <c r="W40" i="41"/>
  <c r="AB40" i="41"/>
  <c r="W39" i="41"/>
  <c r="AB39" i="41"/>
  <c r="W58" i="41"/>
  <c r="AB58" i="41"/>
  <c r="W55" i="41"/>
  <c r="AB55" i="41"/>
  <c r="D36" i="93"/>
  <c r="D31" i="93"/>
  <c r="AD34" i="41"/>
  <c r="AD36" i="41"/>
  <c r="I30" i="141"/>
  <c r="O30" i="141"/>
  <c r="P30" i="141"/>
  <c r="AD31" i="41"/>
  <c r="D54" i="93"/>
  <c r="I50" i="141"/>
  <c r="O50" i="141"/>
  <c r="P50" i="141"/>
  <c r="I17" i="141"/>
  <c r="O17" i="141"/>
  <c r="P17" i="141"/>
  <c r="D21" i="93"/>
  <c r="AD21" i="41"/>
  <c r="AD26" i="41"/>
  <c r="AD19" i="41"/>
  <c r="I22" i="141"/>
  <c r="O22" i="141"/>
  <c r="P22" i="141"/>
  <c r="D17" i="93"/>
  <c r="D19" i="93"/>
  <c r="I49" i="141"/>
  <c r="O49" i="141"/>
  <c r="P49" i="141"/>
  <c r="AD53" i="41"/>
  <c r="D62" i="93"/>
  <c r="I58" i="141"/>
  <c r="O58" i="141"/>
  <c r="P58" i="141"/>
  <c r="AD62" i="41"/>
  <c r="AD8" i="41"/>
  <c r="I33" i="141"/>
  <c r="O33" i="141"/>
  <c r="P33" i="141"/>
  <c r="I57" i="141"/>
  <c r="O57" i="141"/>
  <c r="P57" i="141"/>
  <c r="AD61" i="41"/>
  <c r="D61" i="93"/>
  <c r="D37" i="93"/>
  <c r="AD17" i="41"/>
  <c r="I28" i="141"/>
  <c r="O28" i="141"/>
  <c r="P28" i="141"/>
  <c r="D32" i="93"/>
  <c r="D8" i="93"/>
  <c r="AD32" i="41"/>
  <c r="AD50" i="41"/>
  <c r="D50" i="93"/>
  <c r="I46" i="141"/>
  <c r="O46" i="141"/>
  <c r="P46" i="141"/>
  <c r="D29" i="93"/>
  <c r="AD29" i="41"/>
  <c r="I25" i="141"/>
  <c r="O25" i="141"/>
  <c r="P25" i="141"/>
  <c r="D27" i="93"/>
  <c r="I23" i="141"/>
  <c r="O23" i="141"/>
  <c r="P23" i="141"/>
  <c r="D23" i="93"/>
  <c r="I19" i="141"/>
  <c r="O19" i="141"/>
  <c r="P19" i="141"/>
  <c r="AD23" i="41"/>
  <c r="AD33" i="41"/>
  <c r="I29" i="141"/>
  <c r="O29" i="141"/>
  <c r="P29" i="141"/>
  <c r="D33" i="93"/>
  <c r="I39" i="141"/>
  <c r="O39" i="141"/>
  <c r="P39" i="141"/>
  <c r="D43" i="93"/>
  <c r="AD43" i="41"/>
  <c r="D47" i="93"/>
  <c r="AD47" i="41"/>
  <c r="I43" i="141"/>
  <c r="O43" i="141"/>
  <c r="P43" i="141"/>
  <c r="I41" i="141"/>
  <c r="O41" i="141"/>
  <c r="P41" i="141"/>
  <c r="D45" i="93"/>
  <c r="AD45" i="41"/>
  <c r="D58" i="93"/>
  <c r="AD58" i="41"/>
  <c r="I54" i="141"/>
  <c r="O54" i="141"/>
  <c r="P54" i="141"/>
  <c r="I40" i="141"/>
  <c r="O40" i="141"/>
  <c r="P40" i="141"/>
  <c r="D44" i="93"/>
  <c r="AD44" i="41"/>
  <c r="I52" i="141"/>
  <c r="O52" i="141"/>
  <c r="P52" i="141"/>
  <c r="AD56" i="41"/>
  <c r="D56" i="93"/>
  <c r="AD13" i="41"/>
  <c r="I9" i="141"/>
  <c r="O9" i="141"/>
  <c r="P9" i="141"/>
  <c r="D13" i="93"/>
  <c r="I18" i="141"/>
  <c r="O18" i="141"/>
  <c r="P18" i="141"/>
  <c r="AD22" i="41"/>
  <c r="D22" i="93"/>
  <c r="I16" i="141"/>
  <c r="O16" i="141"/>
  <c r="P16" i="141"/>
  <c r="AD20" i="41"/>
  <c r="D20" i="93"/>
  <c r="I8" i="141"/>
  <c r="O8" i="141"/>
  <c r="P8" i="141"/>
  <c r="AD12" i="41"/>
  <c r="D12" i="93"/>
  <c r="I34" i="141"/>
  <c r="O34" i="141"/>
  <c r="P34" i="141"/>
  <c r="AD38" i="41"/>
  <c r="D38" i="93"/>
  <c r="I60" i="141"/>
  <c r="O60" i="141"/>
  <c r="P60" i="141"/>
  <c r="AD64" i="41"/>
  <c r="D64" i="93"/>
  <c r="D48" i="93"/>
  <c r="AD48" i="41"/>
  <c r="I44" i="141"/>
  <c r="O44" i="141"/>
  <c r="P44" i="141"/>
  <c r="D41" i="93"/>
  <c r="I37" i="141"/>
  <c r="O37" i="141"/>
  <c r="P37" i="141"/>
  <c r="AD41" i="41"/>
  <c r="I35" i="141"/>
  <c r="O35" i="141"/>
  <c r="P35" i="141"/>
  <c r="D39" i="93"/>
  <c r="AD39" i="41"/>
  <c r="I6" i="141"/>
  <c r="O6" i="141"/>
  <c r="P6" i="141"/>
  <c r="AD10" i="41"/>
  <c r="D10" i="93"/>
  <c r="I55" i="141"/>
  <c r="O55" i="141"/>
  <c r="P55" i="141"/>
  <c r="D59" i="93"/>
  <c r="AD59" i="41"/>
  <c r="AD30" i="41"/>
  <c r="I26" i="141"/>
  <c r="O26" i="141"/>
  <c r="P26" i="141"/>
  <c r="D30" i="93"/>
  <c r="I11" i="141"/>
  <c r="O11" i="141"/>
  <c r="P11" i="141"/>
  <c r="AD15" i="41"/>
  <c r="D15" i="93"/>
  <c r="I59" i="141"/>
  <c r="O59" i="141"/>
  <c r="P59" i="141"/>
  <c r="AD63" i="41"/>
  <c r="D63" i="93"/>
  <c r="I7" i="141"/>
  <c r="O7" i="141"/>
  <c r="P7" i="141"/>
  <c r="AD11" i="41"/>
  <c r="D11" i="93"/>
  <c r="I10" i="141"/>
  <c r="O10" i="141"/>
  <c r="P10" i="141"/>
  <c r="AD14" i="41"/>
  <c r="D14" i="93"/>
  <c r="AD18" i="41"/>
  <c r="I14" i="141"/>
  <c r="O14" i="141"/>
  <c r="P14" i="141"/>
  <c r="D18" i="93"/>
  <c r="AD51" i="41"/>
  <c r="I47" i="141"/>
  <c r="O47" i="141"/>
  <c r="P47" i="141"/>
  <c r="D51" i="93"/>
  <c r="I51" i="141"/>
  <c r="O51" i="141"/>
  <c r="P51" i="141"/>
  <c r="AD55" i="41"/>
  <c r="D55" i="93"/>
  <c r="I31" i="141"/>
  <c r="O31" i="141"/>
  <c r="P31" i="141"/>
  <c r="AD35" i="41"/>
  <c r="D35" i="93"/>
  <c r="I36" i="141"/>
  <c r="O36" i="141"/>
  <c r="P36" i="141"/>
  <c r="AD40" i="41"/>
  <c r="D40" i="93"/>
  <c r="AB7" i="41"/>
  <c r="W65" i="41"/>
  <c r="AD46" i="41"/>
  <c r="I42" i="141"/>
  <c r="O42" i="141"/>
  <c r="P42" i="141"/>
  <c r="D46" i="93"/>
  <c r="I56" i="141"/>
  <c r="O56" i="141"/>
  <c r="P56" i="141"/>
  <c r="AD60" i="41"/>
  <c r="D60" i="93"/>
  <c r="I21" i="141"/>
  <c r="O21" i="141"/>
  <c r="P21" i="141"/>
  <c r="AD25" i="41"/>
  <c r="D25" i="93"/>
  <c r="I20" i="141"/>
  <c r="O20" i="141"/>
  <c r="P20" i="141"/>
  <c r="D24" i="93"/>
  <c r="AD24" i="41"/>
  <c r="I12" i="141"/>
  <c r="O12" i="141"/>
  <c r="P12" i="141"/>
  <c r="AD16" i="41"/>
  <c r="D16" i="93"/>
  <c r="I53" i="141"/>
  <c r="O53" i="141"/>
  <c r="P53" i="141"/>
  <c r="D57" i="93"/>
  <c r="AD57" i="41"/>
  <c r="I24" i="141"/>
  <c r="O24" i="141"/>
  <c r="P24" i="141"/>
  <c r="D28" i="93"/>
  <c r="AD28" i="41"/>
  <c r="I5" i="141"/>
  <c r="O5" i="141"/>
  <c r="P5" i="141"/>
  <c r="D9" i="93"/>
  <c r="AD9" i="41"/>
  <c r="I38" i="141"/>
  <c r="O38" i="141"/>
  <c r="P38" i="141"/>
  <c r="D42" i="93"/>
  <c r="AD42" i="41"/>
  <c r="I48" i="141"/>
  <c r="O48" i="141"/>
  <c r="P48" i="141"/>
  <c r="AD52" i="41"/>
  <c r="D52" i="93"/>
  <c r="I45" i="141"/>
  <c r="O45" i="141"/>
  <c r="P45" i="141"/>
  <c r="D49" i="93"/>
  <c r="AD49" i="41"/>
  <c r="P4" i="141"/>
  <c r="AD7" i="41"/>
  <c r="D7" i="93"/>
  <c r="D65" i="93"/>
  <c r="E21" i="93"/>
  <c r="I3" i="141"/>
  <c r="AB65" i="41"/>
  <c r="E24" i="93"/>
  <c r="E52" i="93"/>
  <c r="E41" i="93"/>
  <c r="E34" i="93"/>
  <c r="E11" i="93"/>
  <c r="E44" i="93"/>
  <c r="E12" i="93"/>
  <c r="E27" i="93"/>
  <c r="E38" i="93"/>
  <c r="E61" i="93"/>
  <c r="E56" i="93"/>
  <c r="E49" i="93"/>
  <c r="E37" i="93"/>
  <c r="E64" i="93"/>
  <c r="E35" i="93"/>
  <c r="E10" i="93"/>
  <c r="E9" i="93"/>
  <c r="E31" i="93"/>
  <c r="E40" i="93"/>
  <c r="E39" i="93"/>
  <c r="E45" i="93"/>
  <c r="E55" i="93"/>
  <c r="E17" i="93"/>
  <c r="E57" i="93"/>
  <c r="E60" i="93"/>
  <c r="E29" i="93"/>
  <c r="E63" i="93"/>
  <c r="E16" i="93"/>
  <c r="E51" i="93"/>
  <c r="E25" i="93"/>
  <c r="E8" i="93"/>
  <c r="E20" i="93"/>
  <c r="E32" i="93"/>
  <c r="E53" i="93"/>
  <c r="E48" i="93"/>
  <c r="E50" i="93"/>
  <c r="E54" i="93"/>
  <c r="E43" i="93"/>
  <c r="E46" i="93"/>
  <c r="E42" i="93"/>
  <c r="E33" i="93"/>
  <c r="E58" i="93"/>
  <c r="E36" i="93"/>
  <c r="E22" i="93"/>
  <c r="E13" i="93"/>
  <c r="O3" i="141"/>
  <c r="I61" i="141"/>
  <c r="AC25" i="41"/>
  <c r="AC42" i="41"/>
  <c r="AC58" i="41"/>
  <c r="AC27" i="41"/>
  <c r="AC16" i="41"/>
  <c r="AC39" i="41"/>
  <c r="AC63" i="41"/>
  <c r="AC48" i="41"/>
  <c r="AC56" i="41"/>
  <c r="AC40" i="41"/>
  <c r="AC53" i="41"/>
  <c r="AC9" i="41"/>
  <c r="AC17" i="41"/>
  <c r="AC32" i="41"/>
  <c r="AC8" i="41"/>
  <c r="AC33" i="41"/>
  <c r="AC15" i="41"/>
  <c r="AC22" i="41"/>
  <c r="AC45" i="41"/>
  <c r="AC43" i="41"/>
  <c r="AC60" i="41"/>
  <c r="AC62" i="41"/>
  <c r="AC34" i="41"/>
  <c r="AC41" i="41"/>
  <c r="AC12" i="41"/>
  <c r="AC61" i="41"/>
  <c r="AC37" i="41"/>
  <c r="AC26" i="41"/>
  <c r="AC38" i="41"/>
  <c r="AC21" i="41"/>
  <c r="AC7" i="41"/>
  <c r="AC18" i="41"/>
  <c r="AC54" i="41"/>
  <c r="AC57" i="41"/>
  <c r="AC59" i="41"/>
  <c r="AC20" i="41"/>
  <c r="AC13" i="41"/>
  <c r="AC55" i="41"/>
  <c r="AC36" i="41"/>
  <c r="AC47" i="41"/>
  <c r="AC64" i="41"/>
  <c r="AC35" i="41"/>
  <c r="AC29" i="41"/>
  <c r="AC49" i="41"/>
  <c r="AC23" i="41"/>
  <c r="AC30" i="41"/>
  <c r="AC52" i="41"/>
  <c r="AC28" i="41"/>
  <c r="AC11" i="41"/>
  <c r="AC31" i="41"/>
  <c r="AC51" i="41"/>
  <c r="AC10" i="41"/>
  <c r="AC46" i="41"/>
  <c r="AC50" i="41"/>
  <c r="AC19" i="41"/>
  <c r="AC44" i="41"/>
  <c r="AC24" i="41"/>
  <c r="AC14" i="41"/>
  <c r="E28" i="93"/>
  <c r="E14" i="93"/>
  <c r="E59" i="93"/>
  <c r="E18" i="93"/>
  <c r="E26" i="93"/>
  <c r="E62" i="93"/>
  <c r="E23" i="93"/>
  <c r="E30" i="93"/>
  <c r="E19" i="93"/>
  <c r="E47" i="93"/>
  <c r="E7" i="93"/>
  <c r="E15" i="93"/>
  <c r="E65" i="93"/>
  <c r="AC65" i="41"/>
  <c r="P3" i="141"/>
  <c r="O61" i="141"/>
  <c r="P61" i="1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tc={ADAEA5D8-8DE2-4242-B265-07B412785CEF}</author>
  </authors>
  <commentList>
    <comment ref="I5" authorId="0" shapeId="0" xr:uid="{ADAEA5D8-8DE2-4242-B265-07B412785CEF}">
      <text>
        <t>[Threaded comment]
Your version of Excel allows you to read this threaded comment; however, any edits to it will get removed if the file is opened in a newer version of Excel. Learn more: https://go.microsoft.com/fwlink/?linkid=870924
Comment:
    Added to account for Lassen and Tehama, which do not have 1 FTE values.</t>
      </text>
    </comment>
  </commentList>
</comments>
</file>

<file path=xl/sharedStrings.xml><?xml version="1.0" encoding="utf-8"?>
<sst xmlns="http://schemas.openxmlformats.org/spreadsheetml/2006/main" count="980" uniqueCount="252">
  <si>
    <t>Total</t>
  </si>
  <si>
    <t>B</t>
  </si>
  <si>
    <t>D</t>
  </si>
  <si>
    <t>E</t>
  </si>
  <si>
    <t>Alpine</t>
  </si>
  <si>
    <t>Amador</t>
  </si>
  <si>
    <t>Calaveras</t>
  </si>
  <si>
    <t>Colusa</t>
  </si>
  <si>
    <t>Del Norte</t>
  </si>
  <si>
    <t>Glenn</t>
  </si>
  <si>
    <t>Inyo</t>
  </si>
  <si>
    <t>Lassen</t>
  </si>
  <si>
    <t>Mariposa</t>
  </si>
  <si>
    <t>Modoc</t>
  </si>
  <si>
    <t>Mono</t>
  </si>
  <si>
    <t>Plumas</t>
  </si>
  <si>
    <t>San Benito</t>
  </si>
  <si>
    <t>Sierra</t>
  </si>
  <si>
    <t>Trinity</t>
  </si>
  <si>
    <t>Butte</t>
  </si>
  <si>
    <t>El Dorado</t>
  </si>
  <si>
    <t>Humboldt</t>
  </si>
  <si>
    <t>Imperial</t>
  </si>
  <si>
    <t>Kings</t>
  </si>
  <si>
    <t>Lake</t>
  </si>
  <si>
    <t>Madera</t>
  </si>
  <si>
    <t>Marin</t>
  </si>
  <si>
    <t>Mendocino</t>
  </si>
  <si>
    <t>Merced</t>
  </si>
  <si>
    <t>Napa</t>
  </si>
  <si>
    <t>Nevada</t>
  </si>
  <si>
    <t>Placer</t>
  </si>
  <si>
    <t>San Luis Obispo</t>
  </si>
  <si>
    <t>Santa Cruz</t>
  </si>
  <si>
    <t>Shasta</t>
  </si>
  <si>
    <t>Siskiyou</t>
  </si>
  <si>
    <t>Sutter</t>
  </si>
  <si>
    <t>Tehama</t>
  </si>
  <si>
    <t>Tuolumne</t>
  </si>
  <si>
    <t>Yolo</t>
  </si>
  <si>
    <t>Yuba</t>
  </si>
  <si>
    <t>Contra Costa</t>
  </si>
  <si>
    <t>Fresno</t>
  </si>
  <si>
    <t>Kern</t>
  </si>
  <si>
    <t>Monterey</t>
  </si>
  <si>
    <t>San Joaquin</t>
  </si>
  <si>
    <t>San Mateo</t>
  </si>
  <si>
    <t>Santa Barbara</t>
  </si>
  <si>
    <t>Solano</t>
  </si>
  <si>
    <t>Sonoma</t>
  </si>
  <si>
    <t>Stanislaus</t>
  </si>
  <si>
    <t>Tulare</t>
  </si>
  <si>
    <t>Ventura</t>
  </si>
  <si>
    <t>Alameda</t>
  </si>
  <si>
    <t>Los Angeles</t>
  </si>
  <si>
    <t>Orange</t>
  </si>
  <si>
    <t>Riverside</t>
  </si>
  <si>
    <t>Sacramento</t>
  </si>
  <si>
    <t>San Bernardino</t>
  </si>
  <si>
    <t>San Diego</t>
  </si>
  <si>
    <t>San Francisco</t>
  </si>
  <si>
    <t>Santa Clara</t>
  </si>
  <si>
    <t>Statewide</t>
  </si>
  <si>
    <t>Court</t>
  </si>
  <si>
    <t>NOTES:</t>
  </si>
  <si>
    <t>A</t>
  </si>
  <si>
    <t>C</t>
  </si>
  <si>
    <t>Total Benefit Need Based on RAS FTE Need</t>
  </si>
  <si>
    <t>Cluster</t>
  </si>
  <si>
    <t>Final FTE Dollar Factor</t>
  </si>
  <si>
    <t>State Employment More than 50% of Govt Workforce?</t>
  </si>
  <si>
    <t>% State</t>
  </si>
  <si>
    <t>% Local</t>
  </si>
  <si>
    <t>County</t>
  </si>
  <si>
    <t>WAFM Need</t>
  </si>
  <si>
    <t>Graduated Funding Floor That Would Apply</t>
  </si>
  <si>
    <t>M</t>
  </si>
  <si>
    <t>WAFM Post BLS FTE Allotment: Median</t>
  </si>
  <si>
    <t>Smaller of Floor vs. PY plus 10%</t>
  </si>
  <si>
    <t>Larger of Actual Cap vs. CY</t>
  </si>
  <si>
    <t>Average of Courts' Average RAS-Related Salaries</t>
  </si>
  <si>
    <t>Median</t>
  </si>
  <si>
    <t>Share of reduction</t>
  </si>
  <si>
    <t>F</t>
  </si>
  <si>
    <t>H</t>
  </si>
  <si>
    <t>I</t>
  </si>
  <si>
    <t>L</t>
  </si>
  <si>
    <t>Program 10 (Operations) Staff Need</t>
  </si>
  <si>
    <t>Program 90 (Administration) Staff Need</t>
  </si>
  <si>
    <t>Infractions</t>
  </si>
  <si>
    <t>Criminal</t>
  </si>
  <si>
    <t>Civil</t>
  </si>
  <si>
    <t>Juvenile</t>
  </si>
  <si>
    <t xml:space="preserve">F </t>
  </si>
  <si>
    <t>Allocation Reduction Base</t>
  </si>
  <si>
    <t>Reduction Allocation</t>
  </si>
  <si>
    <t>Determine Adjusted Allocation if Floor Applies</t>
  </si>
  <si>
    <t>% of Statewide Need</t>
  </si>
  <si>
    <t>Eligible for FTE Floor (&lt;50)?</t>
  </si>
  <si>
    <t>Change from Funding Floor Adjustments</t>
  </si>
  <si>
    <t>Average</t>
  </si>
  <si>
    <t>Previous Year % of Need</t>
  </si>
  <si>
    <t>Difference Between % of Need and State Avg.</t>
  </si>
  <si>
    <t>Current  Year % of Need</t>
  </si>
  <si>
    <t>Difference in Funding (Year to Year)</t>
  </si>
  <si>
    <t>Difference in Need (Year to Year)</t>
  </si>
  <si>
    <t>Percent Difference</t>
  </si>
  <si>
    <t>Floor Allocation Adjustment*</t>
  </si>
  <si>
    <t xml:space="preserve">* The floor allocation adjustment formula was changed to add a clause that brought the two absolute floor courts (Alpine and Sierra) back to the floor if they were to start out above the floor amount. </t>
  </si>
  <si>
    <t>GG</t>
  </si>
  <si>
    <t>G</t>
  </si>
  <si>
    <t>J</t>
  </si>
  <si>
    <t>K</t>
  </si>
  <si>
    <t>N</t>
  </si>
  <si>
    <t>TAB</t>
  </si>
  <si>
    <t>RAS</t>
  </si>
  <si>
    <t>AVG RAS Salary</t>
  </si>
  <si>
    <t>* Much of the ratios come from the 7A and as discussed there were two versions of the 7A (the "Colin" version that Suzanne used and the "Joe" version used for RAS). WAFM has been recalculated using the RAS version as it seems more accurate</t>
  </si>
  <si>
    <t xml:space="preserve">FTE Allotment Factor </t>
  </si>
  <si>
    <t xml:space="preserve">This comes from the 7A. Total Filled FTE and Total Salaries for specified positions. </t>
  </si>
  <si>
    <t>BLS</t>
  </si>
  <si>
    <t>This uses the latest 3-year average (local average is used unless State employees are over 50% of government workforce - in that case, the State/Local Average is used)</t>
  </si>
  <si>
    <r>
      <t xml:space="preserve">To calculate this value, the BLS is multiplied by the </t>
    </r>
    <r>
      <rPr>
        <b/>
        <i/>
        <sz val="11"/>
        <color theme="1"/>
        <rFont val="Calibri"/>
        <family val="2"/>
        <scheme val="minor"/>
      </rPr>
      <t xml:space="preserve">Average RAS Salary </t>
    </r>
    <r>
      <rPr>
        <sz val="11"/>
        <color theme="1"/>
        <rFont val="Calibri"/>
        <family val="2"/>
        <scheme val="minor"/>
      </rPr>
      <t xml:space="preserve">(average of each court's average salary per FTE) to get an </t>
    </r>
    <r>
      <rPr>
        <b/>
        <i/>
        <sz val="11"/>
        <color theme="1"/>
        <rFont val="Calibri"/>
        <family val="2"/>
        <scheme val="minor"/>
      </rPr>
      <t>FTE Dollar Factor Applied</t>
    </r>
    <r>
      <rPr>
        <sz val="11"/>
        <color theme="1"/>
        <rFont val="Calibri"/>
        <family val="2"/>
        <scheme val="minor"/>
      </rPr>
      <t xml:space="preserve">. If the court has under 50 FTE and their FTE Dollar Factor Applied is less than the median value for all courts under 50 FTE, then the aforementioned median (for under 50 FTE courts) is used. This is refered to as the </t>
    </r>
    <r>
      <rPr>
        <b/>
        <i/>
        <sz val="11"/>
        <color theme="1"/>
        <rFont val="Calibri"/>
        <family val="2"/>
        <scheme val="minor"/>
      </rPr>
      <t>Post-BLS FTE Allotment Median</t>
    </r>
  </si>
  <si>
    <t>Program 10</t>
  </si>
  <si>
    <t>Program 90</t>
  </si>
  <si>
    <t>CEO Salary</t>
  </si>
  <si>
    <t>OE&amp;E by Cluster</t>
  </si>
  <si>
    <t>Floor Adjustment</t>
  </si>
  <si>
    <t>Previous Year</t>
  </si>
  <si>
    <t>Current Year</t>
  </si>
  <si>
    <r>
      <t xml:space="preserve">Summed from the 7A: Total Filled FTE, Total Salary, Salary Driven Benefits and Non-Salary Driven Benefits. Calculates percent of salary driven benefits and actual non-salary driven benefits for the </t>
    </r>
    <r>
      <rPr>
        <b/>
        <i/>
        <sz val="11"/>
        <color theme="1"/>
        <rFont val="Calibri"/>
        <family val="2"/>
        <scheme val="minor"/>
      </rPr>
      <t>WAFM Need</t>
    </r>
    <r>
      <rPr>
        <sz val="11"/>
        <color theme="1"/>
        <rFont val="Calibri"/>
        <family val="2"/>
        <scheme val="minor"/>
      </rPr>
      <t xml:space="preserve"> Tab</t>
    </r>
  </si>
  <si>
    <r>
      <t xml:space="preserve">Taken from the 7A: Filled FTE and Total Salary. Used in the </t>
    </r>
    <r>
      <rPr>
        <b/>
        <i/>
        <sz val="11"/>
        <color theme="1"/>
        <rFont val="Calibri"/>
        <family val="2"/>
        <scheme val="minor"/>
      </rPr>
      <t xml:space="preserve">CEO Salary </t>
    </r>
    <r>
      <rPr>
        <sz val="11"/>
        <color theme="1"/>
        <rFont val="Calibri"/>
        <family val="2"/>
        <scheme val="minor"/>
      </rPr>
      <t>Tab. Cluster average calculated and used in the</t>
    </r>
    <r>
      <rPr>
        <b/>
        <i/>
        <sz val="11"/>
        <color theme="1"/>
        <rFont val="Calibri"/>
        <family val="2"/>
        <scheme val="minor"/>
      </rPr>
      <t xml:space="preserve"> WAFM Need </t>
    </r>
    <r>
      <rPr>
        <sz val="11"/>
        <color theme="1"/>
        <rFont val="Calibri"/>
        <family val="2"/>
        <scheme val="minor"/>
      </rPr>
      <t xml:space="preserve">Tab </t>
    </r>
  </si>
  <si>
    <r>
      <t xml:space="preserve">Calculated outside of this worksheet and copy/pasted for use in the </t>
    </r>
    <r>
      <rPr>
        <b/>
        <i/>
        <sz val="11"/>
        <color theme="1"/>
        <rFont val="Calibri"/>
        <family val="2"/>
        <scheme val="minor"/>
      </rPr>
      <t>WAFM Need</t>
    </r>
    <r>
      <rPr>
        <sz val="11"/>
        <color theme="1"/>
        <rFont val="Calibri"/>
        <family val="2"/>
        <scheme val="minor"/>
      </rPr>
      <t xml:space="preserve"> Tab</t>
    </r>
  </si>
  <si>
    <t>Floors</t>
  </si>
  <si>
    <r>
      <t xml:space="preserve">This is a reference document used in the </t>
    </r>
    <r>
      <rPr>
        <b/>
        <i/>
        <sz val="11"/>
        <color theme="1"/>
        <rFont val="Calibri"/>
        <family val="2"/>
        <scheme val="minor"/>
      </rPr>
      <t>Floor Adjustment</t>
    </r>
    <r>
      <rPr>
        <sz val="11"/>
        <color theme="1"/>
        <rFont val="Calibri"/>
        <family val="2"/>
        <scheme val="minor"/>
      </rPr>
      <t xml:space="preserve"> Tab</t>
    </r>
  </si>
  <si>
    <t xml:space="preserve">Copy/Paste Previous Year's Data </t>
  </si>
  <si>
    <r>
      <rPr>
        <b/>
        <i/>
        <sz val="11"/>
        <color theme="1"/>
        <rFont val="Calibri"/>
        <family val="2"/>
        <scheme val="minor"/>
      </rPr>
      <t>Total 2018-19 WAFM-Related Allocation (Prior to implementing funding floor)</t>
    </r>
    <r>
      <rPr>
        <sz val="11"/>
        <color theme="1"/>
        <rFont val="Calibri"/>
        <family val="2"/>
        <scheme val="minor"/>
      </rPr>
      <t xml:space="preserve"> is pasted from the WAFM Base worksheet and used in the Floor Adjustment Tab. The WAFM Need comes from the WAFM Need Tab.</t>
    </r>
  </si>
  <si>
    <t>RAS 
Total 
FTE Need</t>
  </si>
  <si>
    <t>FTE Need Multiplied by FTE Allotment Factor, 
Prior to Bureau of Labor Statistics (BLS) Adjustment</t>
  </si>
  <si>
    <t>RAS FTE Need 
Multiplied by 
Average RAS 
Salary</t>
  </si>
  <si>
    <t xml:space="preserve">CEO w/ BLS 
Adjustment </t>
  </si>
  <si>
    <t>O</t>
  </si>
  <si>
    <t>P</t>
  </si>
  <si>
    <t>Q</t>
  </si>
  <si>
    <t>R</t>
  </si>
  <si>
    <t>S</t>
  </si>
  <si>
    <t>U</t>
  </si>
  <si>
    <t>Adjust Base Dollars for 
Local Cost of Labor; Apply 
FTE Dollar Factor</t>
  </si>
  <si>
    <t>Pre-Benefits 
Adjusted 
Base</t>
  </si>
  <si>
    <t>Projected Benefits Expenses 
(Salary-Driven Benefits Based on Adjusted Base)</t>
  </si>
  <si>
    <t>Average % of
 Salary-Driven
Benefits 
Program 10</t>
  </si>
  <si>
    <t>Average Actual
Non Salary-
Driven Benefits
per FTE 
Program 10</t>
  </si>
  <si>
    <t>Average % of Salary-Driven Benefits 
Program 90</t>
  </si>
  <si>
    <t>Average Actual
Non Salary-
Driven Benefits
per FTE 
Program 90</t>
  </si>
  <si>
    <t>Benefits Needed 
for RAS FTE Need
Program 10</t>
  </si>
  <si>
    <t>Benefits Needed 
for RAS FTE Need
Program 90</t>
  </si>
  <si>
    <t>T</t>
  </si>
  <si>
    <t>Total 
Program 10 
Need 
(A thru F)</t>
  </si>
  <si>
    <r>
      <t xml:space="preserve">RAS 
FTE Need
Program 10
</t>
    </r>
    <r>
      <rPr>
        <b/>
        <sz val="10"/>
        <color theme="1"/>
        <rFont val="Calibri"/>
        <family val="2"/>
        <scheme val="minor"/>
      </rPr>
      <t>(Operations)</t>
    </r>
  </si>
  <si>
    <r>
      <t xml:space="preserve">RAS 
FTE Need
Program 90
</t>
    </r>
    <r>
      <rPr>
        <b/>
        <sz val="10"/>
        <color theme="1"/>
        <rFont val="Calibri"/>
        <family val="2"/>
        <scheme val="minor"/>
      </rPr>
      <t>(Administration)</t>
    </r>
  </si>
  <si>
    <r>
      <t>Non-RAS FTE (for Program 90 Need Calculation)</t>
    </r>
    <r>
      <rPr>
        <b/>
        <sz val="11"/>
        <color theme="1"/>
        <rFont val="Calibri"/>
        <family val="2"/>
      </rPr>
      <t>²</t>
    </r>
  </si>
  <si>
    <t>Family 
Law</t>
  </si>
  <si>
    <t>Court Interpreter 
FTE</t>
  </si>
  <si>
    <t>Manager /  Supervisor 
Ratio 
(by Cluster)</t>
  </si>
  <si>
    <t>Manager / Supervisor Need 
(G + GG ) / H</t>
  </si>
  <si>
    <t>Total 
Program 10 Need, 
Rounded up 
(G + I)</t>
  </si>
  <si>
    <t>Program 90 Need, Rounded up 
(J + K) / L</t>
  </si>
  <si>
    <t>Program 90 Ratio 
(by Cluster)</t>
  </si>
  <si>
    <r>
      <t>Average Salary for RAS-Related FTEs</t>
    </r>
    <r>
      <rPr>
        <b/>
        <sz val="11"/>
        <color theme="1"/>
        <rFont val="Calibri"/>
        <family val="2"/>
      </rPr>
      <t>²</t>
    </r>
  </si>
  <si>
    <t>² Salaries and FTEs exclude those related to non-court-operations Program, Element, Component, and Task (PECTs), Subordinate Judicial Officers, Court Executive Officers, marshals, court attendants, interpreters and interpreter coordinators, and vacant positions.</t>
  </si>
  <si>
    <r>
      <t>Average Resource Assessment Study (RAS) Salary</t>
    </r>
    <r>
      <rPr>
        <b/>
        <sz val="14"/>
        <color theme="1"/>
        <rFont val="Calibri"/>
        <family val="2"/>
      </rPr>
      <t>¹</t>
    </r>
  </si>
  <si>
    <t>Totals</t>
  </si>
  <si>
    <t>Total Filled 
Full-Time Equivalents (FTEs)</t>
  </si>
  <si>
    <t>Total 
Salaries</t>
  </si>
  <si>
    <t>Bureau of Labor Statistics (BLS)¹</t>
  </si>
  <si>
    <t>3-Year Average 
BLS Factor 
(50% Workforce Threshold)</t>
  </si>
  <si>
    <t>Probate / 
Mental
Health</t>
  </si>
  <si>
    <t>Three-Year Average BLS</t>
  </si>
  <si>
    <t>Local (92)</t>
  </si>
  <si>
    <t>State (92)</t>
  </si>
  <si>
    <t>State &amp; 
Local 92</t>
  </si>
  <si>
    <t>Full-Time Equivalent (FTE) Allotment Factor</t>
  </si>
  <si>
    <t>Sum of Total 
Annual Salary</t>
  </si>
  <si>
    <t>Sum of Full-Time Equivalent (FTE) 
Position</t>
  </si>
  <si>
    <t>WAFM Calculated 
Need</t>
  </si>
  <si>
    <t>Workload-based Allocation and Funding Methodology (WAFM) Floors</t>
  </si>
  <si>
    <t>Determination of Workload-based Funding Methodology (WAFM) Funding Floor</t>
  </si>
  <si>
    <t>Current Adjusted Allocation if No Floor Applied</t>
  </si>
  <si>
    <t>Apply Floor? Yes, if 
D &gt; E</t>
  </si>
  <si>
    <t>Adjusted Allocation if No Floor Applied</t>
  </si>
  <si>
    <r>
      <t>¹</t>
    </r>
    <r>
      <rPr>
        <i/>
        <sz val="9.35"/>
        <color theme="1"/>
        <rFont val="Calibri"/>
        <family val="2"/>
      </rPr>
      <t xml:space="preserve"> </t>
    </r>
    <r>
      <rPr>
        <i/>
        <sz val="11"/>
        <color theme="1"/>
        <rFont val="Calibri"/>
        <family val="2"/>
      </rPr>
      <t>For the graduated floor, the lower of the floor or prior-year allocation plus 10%.</t>
    </r>
  </si>
  <si>
    <r>
      <t>Funding 
Floor</t>
    </r>
    <r>
      <rPr>
        <b/>
        <sz val="11"/>
        <color theme="1"/>
        <rFont val="Calibri"/>
        <family val="2"/>
      </rPr>
      <t>¹</t>
    </r>
    <r>
      <rPr>
        <b/>
        <sz val="11"/>
        <color theme="1"/>
        <rFont val="Calibri"/>
        <family val="2"/>
        <scheme val="minor"/>
      </rPr>
      <t xml:space="preserve"> </t>
    </r>
  </si>
  <si>
    <t>Prior Year Plus 
10%</t>
  </si>
  <si>
    <t>OE&amp;E / Full-Time Equivalent 
(FTE) Weighted Mean</t>
  </si>
  <si>
    <t>Operating Expenditures and Equipment (OE&amp;E) by Cluster¹</t>
  </si>
  <si>
    <t>Court Executive Officer Salary</t>
  </si>
  <si>
    <t>Sum of Total 
Salary-Driven 
Benefits</t>
  </si>
  <si>
    <t>Sum of Total 
Non Salary-Driven Benefits</t>
  </si>
  <si>
    <t>Average % of 
Salary-Driven 
Benefits</t>
  </si>
  <si>
    <t xml:space="preserve">Average Actual 
Non Salary-Driven Benefits per FTE </t>
  </si>
  <si>
    <r>
      <t xml:space="preserve">Position 
</t>
    </r>
    <r>
      <rPr>
        <b/>
        <sz val="9"/>
        <color theme="1"/>
        <rFont val="Calibri"/>
        <family val="2"/>
        <scheme val="minor"/>
      </rPr>
      <t>(Full-Time Equivalent)</t>
    </r>
  </si>
  <si>
    <t>Bureau of Labor Statistics (BLS) Factor</t>
  </si>
  <si>
    <t>FTE 
Need</t>
  </si>
  <si>
    <t>April 26, 2019</t>
  </si>
  <si>
    <t>April, 26, 2019</t>
  </si>
  <si>
    <t>Courts whose workload need falls below 800,000 shall be allocated the base floor of 800,000</t>
  </si>
  <si>
    <t>Total WF Funding Need
(J + Q + R - S)</t>
  </si>
  <si>
    <t xml:space="preserve">Proportion of Total WF Estimated Funding Need </t>
  </si>
  <si>
    <t>COURT</t>
  </si>
  <si>
    <t xml:space="preserve">CSC </t>
  </si>
  <si>
    <t>FLF</t>
  </si>
  <si>
    <t>TOTAL</t>
  </si>
  <si>
    <t>Court Number</t>
  </si>
  <si>
    <r>
      <t>Resource Assessment Study (RAS) Model Full-Time Equivalent 
(FTE) Need</t>
    </r>
    <r>
      <rPr>
        <b/>
        <vertAlign val="superscript"/>
        <sz val="11"/>
        <color theme="1"/>
        <rFont val="Calibri"/>
        <family val="2"/>
        <scheme val="minor"/>
      </rPr>
      <t>1,2</t>
    </r>
  </si>
  <si>
    <r>
      <t>RAS FTE Need 
Multiplied by 
BLS
(Avg. Salary * BLS)</t>
    </r>
    <r>
      <rPr>
        <b/>
        <vertAlign val="superscript"/>
        <sz val="11"/>
        <color theme="1"/>
        <rFont val="Calibri"/>
        <family val="2"/>
        <scheme val="minor"/>
      </rPr>
      <t>3</t>
    </r>
  </si>
  <si>
    <r>
      <t>RAS FTE Need 
Multiplied by 
Allotment Factor w/
&lt; 50 FTE &amp; Median Adjustments</t>
    </r>
    <r>
      <rPr>
        <b/>
        <vertAlign val="superscript"/>
        <sz val="10"/>
        <color theme="1"/>
        <rFont val="Calibri"/>
        <family val="2"/>
      </rPr>
      <t>3</t>
    </r>
  </si>
  <si>
    <r>
      <t>Court Executive 
Officer (CEO) 
Cluster Average 
Salary</t>
    </r>
    <r>
      <rPr>
        <b/>
        <vertAlign val="superscript"/>
        <sz val="10"/>
        <rFont val="Calibri"/>
        <family val="2"/>
        <scheme val="minor"/>
      </rPr>
      <t>4</t>
    </r>
  </si>
  <si>
    <r>
      <t>BLS 
Factor</t>
    </r>
    <r>
      <rPr>
        <b/>
        <vertAlign val="superscript"/>
        <sz val="11"/>
        <color theme="1"/>
        <rFont val="Calibri"/>
        <family val="2"/>
        <scheme val="minor"/>
      </rPr>
      <t>5</t>
    </r>
  </si>
  <si>
    <r>
      <t>Average Salary-Driven Benefits as % of Salary and 
Average Non Salary-Driven Benefits Per FTE</t>
    </r>
    <r>
      <rPr>
        <b/>
        <vertAlign val="superscript"/>
        <sz val="11"/>
        <rFont val="Calibri"/>
        <family val="2"/>
        <scheme val="minor"/>
      </rPr>
      <t>6</t>
    </r>
  </si>
  <si>
    <r>
      <t xml:space="preserve">Estimated OE&amp;E Needed; 
Excludes funding 
for </t>
    </r>
    <r>
      <rPr>
        <b/>
        <i/>
        <sz val="11"/>
        <color theme="0"/>
        <rFont val="Calibri"/>
        <family val="2"/>
        <scheme val="minor"/>
      </rPr>
      <t>operations</t>
    </r>
    <r>
      <rPr>
        <b/>
        <sz val="11"/>
        <color theme="0"/>
        <rFont val="Calibri"/>
        <family val="2"/>
        <scheme val="minor"/>
      </rPr>
      <t xml:space="preserve"> contracts</t>
    </r>
    <r>
      <rPr>
        <b/>
        <vertAlign val="superscript"/>
        <sz val="11"/>
        <color theme="0"/>
        <rFont val="Calibri"/>
        <family val="2"/>
      </rPr>
      <t>7</t>
    </r>
  </si>
  <si>
    <r>
      <t>Remove AB 1058 Staff/Family Law Facilitator Costs</t>
    </r>
    <r>
      <rPr>
        <b/>
        <vertAlign val="superscript"/>
        <sz val="11"/>
        <color theme="0"/>
        <rFont val="Calibri"/>
        <family val="2"/>
        <scheme val="minor"/>
      </rPr>
      <t>8</t>
    </r>
  </si>
  <si>
    <r>
      <t xml:space="preserve">¹Estimated need based on three-year average filings data from </t>
    </r>
    <r>
      <rPr>
        <i/>
        <sz val="11"/>
        <rFont val="Calibri"/>
        <family val="2"/>
        <scheme val="minor"/>
      </rPr>
      <t>2018-2019 through 2020-21.</t>
    </r>
    <r>
      <rPr>
        <i/>
        <sz val="11"/>
        <color theme="1"/>
        <rFont val="Calibri"/>
        <family val="2"/>
        <scheme val="minor"/>
      </rPr>
      <t xml:space="preserve"> </t>
    </r>
  </si>
  <si>
    <t xml:space="preserve">¹ FTE Work Year Value = 1,642.5 hours </t>
  </si>
  <si>
    <t>Average, Using FTE</t>
  </si>
  <si>
    <t>Total RAS Need 
(J + M)</t>
  </si>
  <si>
    <t>no</t>
  </si>
  <si>
    <t>yes</t>
  </si>
  <si>
    <t>FY20/21 AB 1058 Costs</t>
  </si>
  <si>
    <t>Previous Year Need (2021-22)</t>
  </si>
  <si>
    <t xml:space="preserve">Previous Year Allocation (2021-22) </t>
  </si>
  <si>
    <t xml:space="preserve">Current Year Allocation (2022-23) </t>
  </si>
  <si>
    <t>Current Year Need (2022-23)</t>
  </si>
  <si>
    <t xml:space="preserve">This is currently calculated by Nick and Copy/Pasted into this sheet. There are no calculations or references to other sheets. </t>
  </si>
  <si>
    <r>
      <t>2023-24 Resource Assessment Study (RAS) Full-Time Equivalent (FTE) Need</t>
    </r>
    <r>
      <rPr>
        <b/>
        <sz val="14"/>
        <color theme="1"/>
        <rFont val="Calibri"/>
        <family val="2"/>
      </rPr>
      <t>¹</t>
    </r>
  </si>
  <si>
    <r>
      <rPr>
        <sz val="11"/>
        <color theme="1"/>
        <rFont val="Calibri"/>
        <family val="2"/>
      </rPr>
      <t>²</t>
    </r>
    <r>
      <rPr>
        <i/>
        <sz val="9.35"/>
        <color theme="1"/>
        <rFont val="Calibri"/>
        <family val="2"/>
      </rPr>
      <t xml:space="preserve"> </t>
    </r>
    <r>
      <rPr>
        <i/>
        <sz val="11"/>
        <color theme="1"/>
        <rFont val="Calibri"/>
        <family val="2"/>
        <scheme val="minor"/>
      </rPr>
      <t>Reported on 2022-23 Schedule 7A; non-RAS staff include categories such as Subordinate Judicial Officers, Enhanced Collections Staff, and Interpreters.</t>
    </r>
  </si>
  <si>
    <t>¹ 2019 - 2021 data.</t>
  </si>
  <si>
    <r>
      <rPr>
        <vertAlign val="superscript"/>
        <sz val="11"/>
        <rFont val="Calibri"/>
        <family val="2"/>
        <scheme val="minor"/>
      </rPr>
      <t>2</t>
    </r>
    <r>
      <rPr>
        <sz val="11"/>
        <rFont val="Calibri"/>
        <family val="2"/>
        <scheme val="minor"/>
      </rPr>
      <t>Current BLS data is not available for Sierra. The most recent BLS factor from FY 16-17 is used. Sierra is a "floor" court for allocation.</t>
    </r>
  </si>
  <si>
    <t>Updated March 29, 2023</t>
  </si>
  <si>
    <t>Updated April 4, 2023</t>
  </si>
  <si>
    <r>
      <rPr>
        <i/>
        <vertAlign val="superscript"/>
        <sz val="11"/>
        <color theme="1"/>
        <rFont val="Calibri"/>
        <family val="2"/>
        <scheme val="minor"/>
      </rPr>
      <t>2</t>
    </r>
    <r>
      <rPr>
        <i/>
        <sz val="11"/>
        <color theme="1"/>
        <rFont val="Calibri"/>
        <family val="2"/>
        <scheme val="minor"/>
      </rPr>
      <t xml:space="preserve">On April 23rd, 2021, WAAC approved the use of an extrapolation method for FY 2019-20 filings that were impacted by the COVID-19 pandemic. FY 2020-21 and FY 2021-22 filings data were not adjusted. </t>
    </r>
  </si>
  <si>
    <t>FY 21/22 AB 1058 Costs</t>
  </si>
  <si>
    <t>2022-23</t>
  </si>
  <si>
    <t>¹ Updated three year average (2019-20 to 2021-22); changes to GL, PECT and Fund inclusion/exclusion approved by FMS have been incorporated in this OEE calculation.</t>
  </si>
  <si>
    <t>WF Post BLS FTE Allotment: Median</t>
  </si>
  <si>
    <t>¹ Using 2022-23 data.</t>
  </si>
  <si>
    <r>
      <rPr>
        <i/>
        <vertAlign val="superscript"/>
        <sz val="11"/>
        <color theme="1"/>
        <rFont val="Calibri"/>
        <family val="2"/>
        <scheme val="minor"/>
      </rPr>
      <t>4</t>
    </r>
    <r>
      <rPr>
        <i/>
        <sz val="11"/>
        <color theme="1"/>
        <rFont val="Calibri"/>
        <family val="2"/>
        <scheme val="minor"/>
      </rPr>
      <t>2022-23 data</t>
    </r>
  </si>
  <si>
    <r>
      <rPr>
        <i/>
        <vertAlign val="superscript"/>
        <sz val="11"/>
        <rFont val="Calibri"/>
        <family val="2"/>
        <scheme val="minor"/>
      </rPr>
      <t>5</t>
    </r>
    <r>
      <rPr>
        <i/>
        <sz val="11"/>
        <rFont val="Calibri"/>
        <family val="2"/>
        <scheme val="minor"/>
      </rPr>
      <t>BLS Cost of Labor adjustment based on Quarterly Census of Wages &amp; Employment, three-year average from 2019 through 2021. Salaries of Local Government used for comparison based on Public Administration (North American Industrial Classification System, 92) unless proportion of state government workers in total employment exceeds 50% in which case three-year average of local and state salaries for Public Administration is used for comparison.</t>
    </r>
  </si>
  <si>
    <r>
      <rPr>
        <i/>
        <vertAlign val="superscript"/>
        <sz val="11"/>
        <color theme="1"/>
        <rFont val="Calibri"/>
        <family val="2"/>
        <scheme val="minor"/>
      </rPr>
      <t>6</t>
    </r>
    <r>
      <rPr>
        <i/>
        <sz val="11"/>
        <color theme="1"/>
        <rFont val="Calibri"/>
        <family val="2"/>
        <scheme val="minor"/>
      </rPr>
      <t>From 2022-23 Schedule 7A</t>
    </r>
  </si>
  <si>
    <r>
      <rPr>
        <i/>
        <vertAlign val="superscript"/>
        <sz val="11"/>
        <color theme="1"/>
        <rFont val="Calibri"/>
        <family val="2"/>
        <scheme val="minor"/>
      </rPr>
      <t>7</t>
    </r>
    <r>
      <rPr>
        <i/>
        <sz val="11"/>
        <color theme="1"/>
        <rFont val="Calibri"/>
        <family val="2"/>
        <scheme val="minor"/>
      </rPr>
      <t>OE&amp;E Based on Cluster Average 
OE&amp;E / FTE (Cluster 1: $; Clusters 2-4: $) 
using 2019-20 to 2021-22 data</t>
    </r>
  </si>
  <si>
    <r>
      <rPr>
        <vertAlign val="superscript"/>
        <sz val="11"/>
        <color theme="1"/>
        <rFont val="Calibri"/>
        <family val="2"/>
        <scheme val="minor"/>
      </rPr>
      <t>8</t>
    </r>
    <r>
      <rPr>
        <sz val="11"/>
        <color theme="1"/>
        <rFont val="Calibri"/>
        <family val="2"/>
        <scheme val="minor"/>
      </rPr>
      <t>2021-22 data</t>
    </r>
  </si>
  <si>
    <r>
      <rPr>
        <i/>
        <vertAlign val="superscript"/>
        <sz val="11"/>
        <color theme="1"/>
        <rFont val="Calibri"/>
        <family val="2"/>
        <scheme val="minor"/>
      </rPr>
      <t>3</t>
    </r>
    <r>
      <rPr>
        <i/>
        <sz val="11"/>
        <color theme="1"/>
        <rFont val="Calibri"/>
        <family val="2"/>
        <scheme val="minor"/>
      </rPr>
      <t>Unadjusted base funding per RAS FTE, based on 2022-23 Schedule 7A; does not include collections staff, Subordinate Judicial Officers, CEO, security, or vacant positions. In January 2014, the Trial Court Budget Advisory Committee approved a dollar factor adjustment for courts with fewer than 50 FTE.</t>
    </r>
  </si>
  <si>
    <t>2023-24 Workload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</si>
</sst>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 #,##0.0_);_(* \(#,##0.0\);_(* &quot;-&quot;??_);_(@_)"/>
    <numFmt numFmtId="169" formatCode="0.00000%"/>
    <numFmt numFmtId="170" formatCode="_(&quot;$&quot;#,##0.00_);_(&quot;$&quot;* \(#,##0.00\);_(&quot;$&quot;&quot;-&quot;??_);_(@_)"/>
    <numFmt numFmtId="171" formatCode="0.0,,,&quot;B&quot;"/>
  </numFmts>
  <fonts count="80"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indexed="8"/>
      <name val="Times New Roman"/>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sz val="11"/>
      <color theme="0"/>
      <name val="Calibri"/>
      <family val="2"/>
      <scheme val="minor"/>
    </font>
    <font>
      <sz val="11"/>
      <name val="Calibri"/>
      <family val="2"/>
      <scheme val="minor"/>
    </font>
    <font>
      <b/>
      <sz val="26"/>
      <color theme="1"/>
      <name val="Calibri"/>
      <family val="2"/>
      <scheme val="minor"/>
    </font>
    <font>
      <b/>
      <i/>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4"/>
      <name val="Calibri"/>
      <family val="2"/>
      <scheme val="minor"/>
    </font>
    <font>
      <sz val="11"/>
      <name val="Calibri"/>
      <family val="2"/>
    </font>
    <font>
      <sz val="10"/>
      <color theme="1"/>
      <name val="Calibri"/>
      <family val="2"/>
      <scheme val="minor"/>
    </font>
    <font>
      <b/>
      <sz val="11"/>
      <color theme="1"/>
      <name val="Calibri"/>
      <family val="2"/>
    </font>
    <font>
      <b/>
      <sz val="11"/>
      <color theme="0"/>
      <name val="Calibri"/>
      <family val="2"/>
      <scheme val="minor"/>
    </font>
    <font>
      <sz val="11"/>
      <color rgb="FFFF0000"/>
      <name val="Calibri"/>
      <family val="2"/>
      <scheme val="minor"/>
    </font>
    <font>
      <b/>
      <sz val="10"/>
      <color theme="1"/>
      <name val="Calibri"/>
      <family val="2"/>
      <scheme val="minor"/>
    </font>
    <font>
      <sz val="11"/>
      <color theme="1"/>
      <name val="Calibri"/>
      <family val="2"/>
    </font>
    <font>
      <i/>
      <sz val="9.35"/>
      <color theme="1"/>
      <name val="Calibri"/>
      <family val="2"/>
    </font>
    <font>
      <i/>
      <sz val="11"/>
      <color theme="1"/>
      <name val="Calibri"/>
      <family val="2"/>
    </font>
    <font>
      <b/>
      <sz val="9"/>
      <color theme="1"/>
      <name val="Calibri"/>
      <family val="2"/>
      <scheme val="minor"/>
    </font>
    <font>
      <sz val="10"/>
      <color theme="0"/>
      <name val="Calibri"/>
      <family val="2"/>
      <scheme val="minor"/>
    </font>
    <font>
      <b/>
      <sz val="10"/>
      <name val="Calibri"/>
      <family val="2"/>
      <scheme val="minor"/>
    </font>
    <font>
      <b/>
      <i/>
      <sz val="11"/>
      <color theme="0"/>
      <name val="Calibri"/>
      <family val="2"/>
      <scheme val="minor"/>
    </font>
    <font>
      <b/>
      <sz val="14"/>
      <color theme="1"/>
      <name val="Calibri"/>
      <family val="2"/>
    </font>
    <font>
      <i/>
      <sz val="11"/>
      <name val="Calibri"/>
      <family val="2"/>
      <scheme val="minor"/>
    </font>
    <font>
      <i/>
      <sz val="11"/>
      <name val="Calibri"/>
      <family val="2"/>
    </font>
    <font>
      <sz val="11"/>
      <color theme="0" tint="-0.499984740745262"/>
      <name val="Calibri"/>
      <family val="2"/>
      <scheme val="minor"/>
    </font>
    <font>
      <b/>
      <sz val="11"/>
      <color theme="0" tint="-0.499984740745262"/>
      <name val="Calibri"/>
      <family val="2"/>
      <scheme val="minor"/>
    </font>
    <font>
      <b/>
      <sz val="12"/>
      <color theme="0"/>
      <name val="Calibri"/>
      <family val="2"/>
      <scheme val="minor"/>
    </font>
    <font>
      <sz val="11"/>
      <color theme="0" tint="-0.34998626667073579"/>
      <name val="Calibri"/>
      <family val="2"/>
      <scheme val="minor"/>
    </font>
    <font>
      <b/>
      <sz val="11"/>
      <color rgb="FFFF0000"/>
      <name val="Calibri"/>
      <family val="2"/>
      <scheme val="minor"/>
    </font>
    <font>
      <b/>
      <i/>
      <sz val="11"/>
      <color rgb="FFFF0000"/>
      <name val="Calibri"/>
      <family val="2"/>
      <scheme val="minor"/>
    </font>
    <font>
      <b/>
      <vertAlign val="superscript"/>
      <sz val="10"/>
      <name val="Calibri"/>
      <family val="2"/>
      <scheme val="minor"/>
    </font>
    <font>
      <i/>
      <vertAlign val="superscript"/>
      <sz val="11"/>
      <color theme="1"/>
      <name val="Calibri"/>
      <family val="2"/>
      <scheme val="minor"/>
    </font>
    <font>
      <b/>
      <vertAlign val="superscript"/>
      <sz val="11"/>
      <color theme="1"/>
      <name val="Calibri"/>
      <family val="2"/>
      <scheme val="minor"/>
    </font>
    <font>
      <b/>
      <vertAlign val="superscript"/>
      <sz val="11"/>
      <name val="Calibri"/>
      <family val="2"/>
      <scheme val="minor"/>
    </font>
    <font>
      <b/>
      <vertAlign val="superscript"/>
      <sz val="11"/>
      <color theme="0"/>
      <name val="Calibri"/>
      <family val="2"/>
    </font>
    <font>
      <i/>
      <sz val="12"/>
      <color theme="1"/>
      <name val="Calibri"/>
      <family val="2"/>
      <scheme val="minor"/>
    </font>
    <font>
      <b/>
      <vertAlign val="superscript"/>
      <sz val="11"/>
      <color theme="0"/>
      <name val="Calibri"/>
      <family val="2"/>
      <scheme val="minor"/>
    </font>
    <font>
      <vertAlign val="superscript"/>
      <sz val="11"/>
      <color theme="1"/>
      <name val="Calibri"/>
      <family val="2"/>
      <scheme val="minor"/>
    </font>
    <font>
      <i/>
      <vertAlign val="superscript"/>
      <sz val="11"/>
      <name val="Calibri"/>
      <family val="2"/>
      <scheme val="minor"/>
    </font>
    <font>
      <b/>
      <vertAlign val="superscript"/>
      <sz val="10"/>
      <color theme="1"/>
      <name val="Calibri"/>
      <family val="2"/>
    </font>
    <font>
      <vertAlign val="superscript"/>
      <sz val="11"/>
      <name val="Calibri"/>
      <family val="2"/>
      <scheme val="minor"/>
    </font>
  </fonts>
  <fills count="41">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6"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F7E91"/>
        <bgColor indexed="64"/>
      </patternFill>
    </fill>
    <fill>
      <patternFill patternType="solid">
        <fgColor rgb="FF5AB2CA"/>
        <bgColor indexed="64"/>
      </patternFill>
    </fill>
    <fill>
      <patternFill patternType="solid">
        <fgColor rgb="FF3593A9"/>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
      <patternFill patternType="solid">
        <fgColor theme="8" tint="0.59999389629810485"/>
        <bgColor rgb="FF000000"/>
      </patternFill>
    </fill>
  </fills>
  <borders count="3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30">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7" fillId="0" borderId="0"/>
    <xf numFmtId="43" fontId="7"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3" fontId="20"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0" borderId="0"/>
    <xf numFmtId="0" fontId="8" fillId="0" borderId="0"/>
    <xf numFmtId="0" fontId="8" fillId="0" borderId="0"/>
    <xf numFmtId="0" fontId="18" fillId="0" borderId="0"/>
    <xf numFmtId="0" fontId="11" fillId="0" borderId="0"/>
    <xf numFmtId="0" fontId="11" fillId="0" borderId="0"/>
    <xf numFmtId="0" fontId="13" fillId="0" borderId="0"/>
    <xf numFmtId="0" fontId="6" fillId="0" borderId="0"/>
    <xf numFmtId="0" fontId="11" fillId="0" borderId="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40" fontId="30" fillId="25" borderId="0">
      <alignment horizontal="right"/>
    </xf>
    <xf numFmtId="0" fontId="31" fillId="25" borderId="0">
      <alignment horizontal="right"/>
    </xf>
    <xf numFmtId="0" fontId="32" fillId="25" borderId="1"/>
    <xf numFmtId="0" fontId="32" fillId="0" borderId="0" applyBorder="0">
      <alignment horizontal="centerContinuous"/>
    </xf>
    <xf numFmtId="0" fontId="33" fillId="0" borderId="0" applyBorder="0">
      <alignment horizontal="centerContinuous"/>
    </xf>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0" fontId="11"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0" borderId="0"/>
    <xf numFmtId="0" fontId="11" fillId="0" borderId="0"/>
    <xf numFmtId="0" fontId="18" fillId="0" borderId="0"/>
    <xf numFmtId="0" fontId="8" fillId="0" borderId="0"/>
    <xf numFmtId="0" fontId="1" fillId="0" borderId="0"/>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8" fillId="0" borderId="0" applyFont="0" applyFill="0" applyBorder="0" applyAlignment="0" applyProtection="0"/>
    <xf numFmtId="0" fontId="8" fillId="27" borderId="0" applyNumberFormat="0" applyBorder="0" applyAlignment="0" applyProtection="0"/>
    <xf numFmtId="0" fontId="8" fillId="28" borderId="0" applyNumberFormat="0" applyBorder="0" applyAlignment="0" applyProtection="0"/>
    <xf numFmtId="0" fontId="47" fillId="0" borderId="0"/>
    <xf numFmtId="0" fontId="8" fillId="29" borderId="0" applyNumberFormat="0" applyBorder="0" applyAlignment="0" applyProtection="0"/>
  </cellStyleXfs>
  <cellXfs count="334">
    <xf numFmtId="0" fontId="0" fillId="0" borderId="0" xfId="0"/>
    <xf numFmtId="0" fontId="39" fillId="0" borderId="0" xfId="22" applyFont="1"/>
    <xf numFmtId="0" fontId="46" fillId="0" borderId="0" xfId="22" applyFont="1"/>
    <xf numFmtId="0" fontId="10" fillId="0" borderId="0" xfId="0" applyFont="1"/>
    <xf numFmtId="0" fontId="0" fillId="0" borderId="0" xfId="0" applyAlignment="1">
      <alignment wrapText="1"/>
    </xf>
    <xf numFmtId="0" fontId="43" fillId="0" borderId="2" xfId="22" applyFont="1" applyBorder="1" applyAlignment="1">
      <alignment horizontal="center"/>
    </xf>
    <xf numFmtId="0" fontId="43" fillId="0" borderId="2" xfId="22" applyFont="1" applyBorder="1" applyAlignment="1">
      <alignment horizontal="left"/>
    </xf>
    <xf numFmtId="0" fontId="43" fillId="0" borderId="2" xfId="22" applyFont="1" applyBorder="1" applyAlignment="1">
      <alignment horizontal="left" vertical="top" wrapText="1"/>
    </xf>
    <xf numFmtId="166" fontId="0" fillId="0" borderId="2" xfId="2" applyNumberFormat="1" applyFont="1" applyFill="1" applyBorder="1" applyAlignment="1">
      <alignment vertical="center"/>
    </xf>
    <xf numFmtId="0" fontId="10" fillId="2" borderId="2" xfId="291" applyFont="1" applyFill="1" applyBorder="1" applyAlignment="1">
      <alignment horizontal="center" vertical="center" wrapText="1"/>
    </xf>
    <xf numFmtId="10" fontId="10" fillId="2" borderId="2" xfId="1" applyNumberFormat="1" applyFont="1" applyFill="1" applyBorder="1" applyAlignment="1">
      <alignment horizontal="center" vertical="center" wrapText="1"/>
    </xf>
    <xf numFmtId="0" fontId="10" fillId="2" borderId="2" xfId="22" applyFont="1" applyFill="1" applyBorder="1" applyAlignment="1">
      <alignment horizontal="center" vertical="center" wrapText="1"/>
    </xf>
    <xf numFmtId="164" fontId="10" fillId="0" borderId="0" xfId="0" applyNumberFormat="1" applyFont="1"/>
    <xf numFmtId="165" fontId="0" fillId="0" borderId="2" xfId="0" applyNumberFormat="1" applyBorder="1"/>
    <xf numFmtId="0" fontId="10" fillId="0" borderId="0" xfId="0" applyFont="1" applyAlignment="1">
      <alignment wrapText="1"/>
    </xf>
    <xf numFmtId="0" fontId="42" fillId="0" borderId="0" xfId="6" applyFont="1" applyAlignment="1">
      <alignment horizontal="left" vertical="center"/>
    </xf>
    <xf numFmtId="0" fontId="0" fillId="0" borderId="21" xfId="6" applyFont="1" applyBorder="1"/>
    <xf numFmtId="0" fontId="48" fillId="0" borderId="0" xfId="281" applyFont="1"/>
    <xf numFmtId="0" fontId="12" fillId="0" borderId="0" xfId="6" applyFont="1"/>
    <xf numFmtId="0" fontId="10" fillId="0" borderId="0" xfId="6" applyFont="1"/>
    <xf numFmtId="164" fontId="0" fillId="0" borderId="2" xfId="0" applyNumberFormat="1" applyBorder="1"/>
    <xf numFmtId="165" fontId="0" fillId="0" borderId="25" xfId="0" applyNumberFormat="1" applyBorder="1"/>
    <xf numFmtId="0" fontId="0" fillId="0" borderId="22" xfId="6" applyFont="1" applyBorder="1"/>
    <xf numFmtId="164" fontId="0" fillId="0" borderId="23" xfId="0" applyNumberFormat="1" applyBorder="1"/>
    <xf numFmtId="165" fontId="0" fillId="0" borderId="23" xfId="0" applyNumberFormat="1" applyBorder="1"/>
    <xf numFmtId="165" fontId="0" fillId="0" borderId="26" xfId="0" applyNumberFormat="1" applyBorder="1"/>
    <xf numFmtId="0" fontId="10" fillId="2" borderId="19" xfId="6"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0" fillId="0" borderId="21" xfId="0" applyNumberFormat="1" applyBorder="1"/>
    <xf numFmtId="164" fontId="0" fillId="0" borderId="22" xfId="0" applyNumberFormat="1" applyBorder="1"/>
    <xf numFmtId="164" fontId="10" fillId="0" borderId="27" xfId="0" applyNumberFormat="1" applyFont="1" applyBorder="1"/>
    <xf numFmtId="165" fontId="10" fillId="0" borderId="27" xfId="0" applyNumberFormat="1" applyFont="1" applyBorder="1"/>
    <xf numFmtId="0" fontId="10" fillId="2" borderId="19" xfId="0" applyFont="1" applyFill="1" applyBorder="1" applyAlignment="1">
      <alignment horizontal="center" vertical="center" wrapText="1"/>
    </xf>
    <xf numFmtId="10" fontId="0" fillId="0" borderId="2" xfId="0" applyNumberFormat="1" applyBorder="1"/>
    <xf numFmtId="10" fontId="0" fillId="0" borderId="25" xfId="0" applyNumberFormat="1" applyBorder="1"/>
    <xf numFmtId="10" fontId="0" fillId="0" borderId="23" xfId="0" applyNumberFormat="1" applyBorder="1"/>
    <xf numFmtId="10" fontId="0" fillId="0" borderId="26" xfId="0" applyNumberFormat="1" applyBorder="1"/>
    <xf numFmtId="10" fontId="10" fillId="0" borderId="0" xfId="0" applyNumberFormat="1" applyFont="1"/>
    <xf numFmtId="0" fontId="0" fillId="30" borderId="0" xfId="0" applyFill="1"/>
    <xf numFmtId="0" fontId="10" fillId="30" borderId="0" xfId="0" applyFont="1" applyFill="1"/>
    <xf numFmtId="0" fontId="10" fillId="2" borderId="2" xfId="0" applyFont="1" applyFill="1" applyBorder="1" applyAlignment="1">
      <alignment horizontal="center" vertical="center" wrapText="1"/>
    </xf>
    <xf numFmtId="166" fontId="0" fillId="0" borderId="0" xfId="2" applyNumberFormat="1" applyFont="1" applyFill="1" applyBorder="1" applyAlignment="1">
      <alignment horizontal="center" vertical="center"/>
    </xf>
    <xf numFmtId="0" fontId="0" fillId="0" borderId="0" xfId="0" applyAlignment="1">
      <alignment horizontal="center" vertical="center"/>
    </xf>
    <xf numFmtId="166" fontId="0" fillId="0" borderId="0" xfId="2" applyNumberFormat="1" applyFont="1" applyFill="1" applyBorder="1" applyAlignment="1">
      <alignment horizontal="center" vertical="center" wrapText="1"/>
    </xf>
    <xf numFmtId="0" fontId="42" fillId="0" borderId="0" xfId="0" applyFont="1" applyAlignment="1">
      <alignment horizontal="left" vertical="center"/>
    </xf>
    <xf numFmtId="0" fontId="37" fillId="0" borderId="0" xfId="0" applyFont="1" applyAlignment="1">
      <alignment horizontal="left" vertical="center"/>
    </xf>
    <xf numFmtId="49" fontId="42" fillId="0" borderId="0" xfId="0" applyNumberFormat="1" applyFont="1" applyAlignment="1">
      <alignment horizontal="left" vertical="center"/>
    </xf>
    <xf numFmtId="49" fontId="52" fillId="0" borderId="0" xfId="0" applyNumberFormat="1" applyFont="1" applyAlignment="1">
      <alignment horizontal="left" vertical="center"/>
    </xf>
    <xf numFmtId="0" fontId="40" fillId="0" borderId="0" xfId="0" quotePrefix="1" applyFont="1" applyAlignment="1">
      <alignment vertical="center" wrapText="1"/>
    </xf>
    <xf numFmtId="0" fontId="40" fillId="0" borderId="0" xfId="0" applyFont="1" applyAlignment="1">
      <alignment horizontal="left" vertical="center" wrapText="1"/>
    </xf>
    <xf numFmtId="0" fontId="37" fillId="0" borderId="0" xfId="0" applyFont="1" applyAlignment="1">
      <alignment horizontal="left" vertical="center" wrapText="1"/>
    </xf>
    <xf numFmtId="0" fontId="0" fillId="0" borderId="0" xfId="0" applyAlignment="1">
      <alignment vertical="center"/>
    </xf>
    <xf numFmtId="3" fontId="0" fillId="0" borderId="0" xfId="0" applyNumberFormat="1" applyAlignment="1">
      <alignment vertical="center"/>
    </xf>
    <xf numFmtId="166" fontId="0" fillId="0" borderId="0" xfId="2" applyNumberFormat="1" applyFont="1" applyFill="1" applyBorder="1" applyAlignment="1">
      <alignment vertical="center"/>
    </xf>
    <xf numFmtId="164" fontId="0" fillId="0" borderId="0" xfId="0" applyNumberFormat="1" applyAlignment="1">
      <alignment vertical="center"/>
    </xf>
    <xf numFmtId="10" fontId="0" fillId="0" borderId="0" xfId="1" applyNumberFormat="1" applyFont="1" applyFill="1" applyBorder="1" applyAlignment="1">
      <alignment vertical="center"/>
    </xf>
    <xf numFmtId="166" fontId="38" fillId="0" borderId="0" xfId="2" applyNumberFormat="1" applyFont="1" applyFill="1" applyBorder="1" applyAlignment="1">
      <alignment vertical="center"/>
    </xf>
    <xf numFmtId="43" fontId="39" fillId="0" borderId="0" xfId="2" applyFont="1" applyFill="1" applyBorder="1" applyAlignment="1">
      <alignment vertical="center"/>
    </xf>
    <xf numFmtId="9" fontId="0" fillId="0" borderId="0" xfId="0" applyNumberFormat="1" applyAlignment="1">
      <alignment horizontal="right" vertical="center"/>
    </xf>
    <xf numFmtId="0" fontId="9" fillId="0" borderId="0" xfId="0" applyFont="1" applyAlignment="1">
      <alignment vertical="center"/>
    </xf>
    <xf numFmtId="0" fontId="12" fillId="0" borderId="0" xfId="0" applyFont="1" applyAlignment="1">
      <alignment vertical="center"/>
    </xf>
    <xf numFmtId="37" fontId="0" fillId="0" borderId="0" xfId="0" applyNumberFormat="1" applyAlignment="1">
      <alignment vertical="center"/>
    </xf>
    <xf numFmtId="0" fontId="10" fillId="0" borderId="0" xfId="0" applyFont="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166" fontId="47" fillId="0" borderId="2" xfId="2" applyNumberFormat="1" applyFont="1" applyFill="1" applyBorder="1" applyAlignment="1">
      <alignment vertical="center"/>
    </xf>
    <xf numFmtId="3" fontId="10" fillId="0" borderId="2" xfId="0" applyNumberFormat="1" applyFont="1" applyBorder="1" applyAlignment="1">
      <alignment vertical="center"/>
    </xf>
    <xf numFmtId="3" fontId="10" fillId="0" borderId="28" xfId="0" applyNumberFormat="1" applyFont="1" applyBorder="1" applyAlignment="1">
      <alignment vertical="center"/>
    </xf>
    <xf numFmtId="164" fontId="0" fillId="0" borderId="2" xfId="0" applyNumberFormat="1" applyBorder="1" applyAlignment="1">
      <alignment vertical="center"/>
    </xf>
    <xf numFmtId="3" fontId="0" fillId="0" borderId="2" xfId="0" applyNumberFormat="1" applyBorder="1" applyAlignment="1">
      <alignment vertical="center"/>
    </xf>
    <xf numFmtId="3" fontId="0" fillId="0" borderId="2" xfId="2" applyNumberFormat="1" applyFont="1" applyFill="1" applyBorder="1" applyAlignment="1">
      <alignment vertical="center"/>
    </xf>
    <xf numFmtId="0" fontId="10" fillId="32" borderId="2" xfId="0" applyFont="1" applyFill="1" applyBorder="1" applyAlignment="1">
      <alignment horizontal="center" vertical="center" wrapText="1"/>
    </xf>
    <xf numFmtId="0" fontId="10" fillId="33" borderId="2" xfId="0" applyFont="1" applyFill="1" applyBorder="1" applyAlignment="1">
      <alignment horizontal="center" vertical="center" wrapText="1"/>
    </xf>
    <xf numFmtId="0" fontId="52" fillId="33" borderId="2" xfId="0" applyFont="1" applyFill="1" applyBorder="1" applyAlignment="1">
      <alignment horizontal="center" vertical="center" wrapText="1"/>
    </xf>
    <xf numFmtId="0" fontId="10" fillId="0" borderId="0" xfId="0" applyFont="1" applyAlignment="1">
      <alignment horizontal="center" vertical="center" wrapText="1"/>
    </xf>
    <xf numFmtId="164" fontId="10" fillId="0" borderId="28" xfId="0" applyNumberFormat="1" applyFont="1" applyBorder="1" applyAlignment="1">
      <alignment vertical="center"/>
    </xf>
    <xf numFmtId="0" fontId="52" fillId="31" borderId="2" xfId="0"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0" fontId="48" fillId="0" borderId="0" xfId="0" applyFont="1" applyAlignment="1">
      <alignment horizontal="center" vertical="center"/>
    </xf>
    <xf numFmtId="0" fontId="38" fillId="0" borderId="0" xfId="0" applyFont="1" applyAlignment="1">
      <alignment vertical="center"/>
    </xf>
    <xf numFmtId="0" fontId="57" fillId="0" borderId="0" xfId="0" applyFont="1" applyAlignment="1">
      <alignment vertical="center"/>
    </xf>
    <xf numFmtId="0" fontId="9" fillId="0" borderId="0" xfId="0" applyFont="1" applyAlignment="1">
      <alignment horizontal="right" vertical="center"/>
    </xf>
    <xf numFmtId="166" fontId="39" fillId="0" borderId="0" xfId="2" applyNumberFormat="1" applyFont="1" applyFill="1" applyBorder="1" applyAlignment="1">
      <alignment vertical="center"/>
    </xf>
    <xf numFmtId="4" fontId="0" fillId="0" borderId="2" xfId="0" applyNumberFormat="1" applyBorder="1" applyAlignment="1">
      <alignment vertical="center"/>
    </xf>
    <xf numFmtId="164" fontId="10" fillId="0" borderId="18" xfId="0" applyNumberFormat="1" applyFont="1" applyBorder="1" applyAlignment="1">
      <alignment vertical="center"/>
    </xf>
    <xf numFmtId="165" fontId="0" fillId="0" borderId="2" xfId="1" applyNumberFormat="1" applyFont="1" applyFill="1" applyBorder="1" applyAlignment="1">
      <alignment vertical="center"/>
    </xf>
    <xf numFmtId="0" fontId="52" fillId="32" borderId="2" xfId="0" applyFont="1" applyFill="1" applyBorder="1" applyAlignment="1">
      <alignment horizontal="center" vertical="center" wrapText="1"/>
    </xf>
    <xf numFmtId="164" fontId="10" fillId="0" borderId="2" xfId="0" applyNumberFormat="1" applyFont="1" applyBorder="1" applyAlignment="1">
      <alignment vertical="center"/>
    </xf>
    <xf numFmtId="3" fontId="10" fillId="0" borderId="2" xfId="2" applyNumberFormat="1" applyFont="1" applyFill="1" applyBorder="1" applyAlignment="1">
      <alignment vertical="center"/>
    </xf>
    <xf numFmtId="10" fontId="0" fillId="0" borderId="2" xfId="0" applyNumberFormat="1" applyBorder="1" applyAlignment="1">
      <alignment vertical="center"/>
    </xf>
    <xf numFmtId="10" fontId="0" fillId="0" borderId="2" xfId="1" applyNumberFormat="1" applyFont="1" applyFill="1" applyBorder="1" applyAlignment="1">
      <alignment vertical="center"/>
    </xf>
    <xf numFmtId="10" fontId="10" fillId="0" borderId="28" xfId="0" applyNumberFormat="1" applyFont="1" applyBorder="1" applyAlignment="1">
      <alignment horizontal="right" vertical="center"/>
    </xf>
    <xf numFmtId="166" fontId="50" fillId="34" borderId="2" xfId="2" applyNumberFormat="1" applyFont="1" applyFill="1" applyBorder="1" applyAlignment="1">
      <alignment horizontal="center" vertical="center" wrapText="1"/>
    </xf>
    <xf numFmtId="0" fontId="45" fillId="36" borderId="2" xfId="0" applyFont="1" applyFill="1" applyBorder="1" applyAlignment="1">
      <alignment horizontal="center" vertical="center" wrapText="1"/>
    </xf>
    <xf numFmtId="0" fontId="58" fillId="36" borderId="2" xfId="0" applyFont="1" applyFill="1" applyBorder="1" applyAlignment="1">
      <alignment horizontal="center" vertical="center" wrapText="1"/>
    </xf>
    <xf numFmtId="0" fontId="50" fillId="37" borderId="2" xfId="0" applyFont="1" applyFill="1" applyBorder="1" applyAlignment="1">
      <alignment horizontal="center" vertical="center" wrapText="1"/>
    </xf>
    <xf numFmtId="0" fontId="10" fillId="0" borderId="0" xfId="0" applyFont="1" applyAlignment="1">
      <alignment horizontal="right" vertical="center"/>
    </xf>
    <xf numFmtId="164" fontId="10" fillId="0" borderId="17" xfId="0" applyNumberFormat="1" applyFont="1" applyBorder="1" applyAlignment="1">
      <alignment vertical="center"/>
    </xf>
    <xf numFmtId="168" fontId="10" fillId="0" borderId="0" xfId="2" applyNumberFormat="1" applyFont="1" applyBorder="1" applyAlignment="1">
      <alignment vertical="center"/>
    </xf>
    <xf numFmtId="168" fontId="8" fillId="0" borderId="0" xfId="2" applyNumberFormat="1" applyFont="1" applyBorder="1" applyAlignment="1">
      <alignment vertical="center"/>
    </xf>
    <xf numFmtId="0" fontId="8" fillId="0" borderId="0" xfId="0" applyFont="1" applyAlignment="1">
      <alignment vertical="center"/>
    </xf>
    <xf numFmtId="168" fontId="45" fillId="0" borderId="0" xfId="2" applyNumberFormat="1" applyFont="1" applyBorder="1" applyAlignment="1">
      <alignment horizontal="left" vertical="center" wrapText="1"/>
    </xf>
    <xf numFmtId="168" fontId="10" fillId="0" borderId="0" xfId="2" applyNumberFormat="1" applyFont="1" applyFill="1" applyBorder="1" applyAlignment="1">
      <alignment vertical="center" wrapText="1"/>
    </xf>
    <xf numFmtId="166" fontId="8" fillId="0" borderId="0" xfId="2" applyNumberFormat="1" applyFont="1" applyBorder="1" applyAlignment="1">
      <alignment vertical="center"/>
    </xf>
    <xf numFmtId="166" fontId="8" fillId="0" borderId="0" xfId="2" applyNumberFormat="1" applyFont="1" applyFill="1" applyBorder="1" applyAlignment="1">
      <alignment vertical="center"/>
    </xf>
    <xf numFmtId="168" fontId="8" fillId="0" borderId="0" xfId="2" applyNumberFormat="1" applyFont="1" applyBorder="1" applyAlignment="1">
      <alignment vertical="center" wrapText="1"/>
    </xf>
    <xf numFmtId="168" fontId="9" fillId="0" borderId="0" xfId="2" applyNumberFormat="1" applyFont="1" applyBorder="1" applyAlignment="1">
      <alignment vertical="center"/>
    </xf>
    <xf numFmtId="0" fontId="8" fillId="0" borderId="0" xfId="0" applyFont="1" applyAlignment="1">
      <alignment vertical="center" wrapText="1"/>
    </xf>
    <xf numFmtId="168" fontId="10" fillId="0" borderId="0" xfId="2" applyNumberFormat="1" applyFont="1" applyFill="1" applyBorder="1" applyAlignment="1">
      <alignment vertical="center"/>
    </xf>
    <xf numFmtId="166" fontId="10" fillId="0" borderId="0" xfId="2" applyNumberFormat="1" applyFont="1" applyBorder="1" applyAlignment="1">
      <alignment vertical="center"/>
    </xf>
    <xf numFmtId="0" fontId="10" fillId="0" borderId="0" xfId="0" applyFont="1" applyAlignment="1">
      <alignment vertical="center"/>
    </xf>
    <xf numFmtId="168" fontId="10" fillId="0" borderId="0" xfId="2" applyNumberFormat="1" applyFont="1" applyBorder="1" applyAlignment="1">
      <alignment horizontal="right" vertical="center"/>
    </xf>
    <xf numFmtId="168" fontId="8" fillId="0" borderId="2" xfId="2" applyNumberFormat="1" applyFont="1" applyBorder="1" applyAlignment="1">
      <alignment vertical="center"/>
    </xf>
    <xf numFmtId="168" fontId="10" fillId="2" borderId="2" xfId="2" applyNumberFormat="1" applyFont="1" applyFill="1" applyBorder="1" applyAlignment="1">
      <alignment horizontal="center" vertical="center" wrapText="1"/>
    </xf>
    <xf numFmtId="168" fontId="39" fillId="0" borderId="2" xfId="2" applyNumberFormat="1" applyFont="1" applyBorder="1" applyAlignment="1">
      <alignment vertical="center"/>
    </xf>
    <xf numFmtId="168" fontId="45" fillId="0" borderId="2" xfId="2" applyNumberFormat="1" applyFont="1" applyBorder="1" applyAlignment="1">
      <alignment vertical="center"/>
    </xf>
    <xf numFmtId="37" fontId="45" fillId="0" borderId="2" xfId="2" applyNumberFormat="1" applyFont="1" applyBorder="1" applyAlignment="1">
      <alignment vertical="center"/>
    </xf>
    <xf numFmtId="168" fontId="10" fillId="0" borderId="28" xfId="2" applyNumberFormat="1" applyFont="1" applyBorder="1" applyAlignment="1">
      <alignment vertical="center"/>
    </xf>
    <xf numFmtId="37" fontId="10" fillId="0" borderId="28" xfId="2" applyNumberFormat="1" applyFont="1" applyBorder="1" applyAlignment="1">
      <alignment vertical="center"/>
    </xf>
    <xf numFmtId="37" fontId="45" fillId="0" borderId="2" xfId="0" applyNumberFormat="1" applyFont="1" applyBorder="1" applyAlignment="1">
      <alignment vertical="center"/>
    </xf>
    <xf numFmtId="166" fontId="10" fillId="0" borderId="28" xfId="2" applyNumberFormat="1" applyFont="1" applyBorder="1" applyAlignment="1">
      <alignment vertical="center"/>
    </xf>
    <xf numFmtId="166" fontId="45" fillId="0" borderId="2" xfId="2" applyNumberFormat="1" applyFont="1" applyBorder="1" applyAlignment="1">
      <alignment vertical="center"/>
    </xf>
    <xf numFmtId="0" fontId="8" fillId="0" borderId="0" xfId="294" applyFont="1" applyAlignment="1">
      <alignment vertical="center"/>
    </xf>
    <xf numFmtId="0" fontId="10" fillId="2" borderId="2" xfId="294" applyFont="1" applyFill="1" applyBorder="1" applyAlignment="1">
      <alignment horizontal="center" vertical="center" wrapText="1"/>
    </xf>
    <xf numFmtId="0" fontId="8" fillId="0" borderId="2" xfId="294" applyFont="1" applyBorder="1" applyAlignment="1">
      <alignment vertical="center"/>
    </xf>
    <xf numFmtId="166" fontId="8" fillId="0" borderId="2" xfId="0" applyNumberFormat="1" applyFont="1" applyBorder="1" applyAlignment="1">
      <alignment vertical="center"/>
    </xf>
    <xf numFmtId="166" fontId="8" fillId="0" borderId="0" xfId="295" applyNumberFormat="1" applyFont="1" applyAlignment="1">
      <alignment vertical="center"/>
    </xf>
    <xf numFmtId="166" fontId="8" fillId="0" borderId="0" xfId="295" applyNumberFormat="1" applyFont="1" applyBorder="1" applyAlignment="1">
      <alignment vertical="center"/>
    </xf>
    <xf numFmtId="166" fontId="10" fillId="0" borderId="0" xfId="295" applyNumberFormat="1" applyFont="1" applyBorder="1" applyAlignment="1">
      <alignment vertical="center"/>
    </xf>
    <xf numFmtId="166" fontId="8" fillId="0" borderId="0" xfId="2" applyNumberFormat="1" applyFont="1" applyAlignment="1">
      <alignment vertical="center"/>
    </xf>
    <xf numFmtId="166" fontId="8" fillId="0" borderId="0" xfId="294" applyNumberFormat="1" applyFont="1" applyAlignment="1">
      <alignment vertical="center"/>
    </xf>
    <xf numFmtId="165" fontId="8" fillId="0" borderId="0" xfId="1" applyNumberFormat="1" applyFont="1" applyAlignment="1">
      <alignment vertical="center"/>
    </xf>
    <xf numFmtId="0" fontId="10" fillId="0" borderId="0" xfId="294" applyFont="1" applyAlignment="1">
      <alignment horizontal="center" vertical="center"/>
    </xf>
    <xf numFmtId="0" fontId="55" fillId="0" borderId="0" xfId="294" applyFont="1" applyAlignment="1">
      <alignment vertical="center"/>
    </xf>
    <xf numFmtId="168" fontId="10" fillId="0" borderId="0" xfId="2" applyNumberFormat="1" applyFont="1" applyFill="1" applyAlignment="1">
      <alignment horizontal="left" vertical="center"/>
    </xf>
    <xf numFmtId="0" fontId="42" fillId="0" borderId="0" xfId="294" applyFont="1" applyAlignment="1">
      <alignment vertical="center"/>
    </xf>
    <xf numFmtId="5" fontId="8" fillId="0" borderId="2" xfId="0" applyNumberFormat="1" applyFont="1" applyBorder="1" applyAlignment="1">
      <alignment vertical="center"/>
    </xf>
    <xf numFmtId="5" fontId="8" fillId="0" borderId="2" xfId="295" applyNumberFormat="1" applyFont="1" applyBorder="1" applyAlignment="1">
      <alignment vertical="center"/>
    </xf>
    <xf numFmtId="0" fontId="10" fillId="0" borderId="0" xfId="294" applyFont="1" applyAlignment="1">
      <alignment horizontal="right" vertical="center"/>
    </xf>
    <xf numFmtId="5" fontId="10" fillId="0" borderId="28" xfId="295" applyNumberFormat="1" applyFont="1" applyBorder="1" applyAlignment="1">
      <alignment vertical="center"/>
    </xf>
    <xf numFmtId="166" fontId="10" fillId="0" borderId="28" xfId="295" applyNumberFormat="1" applyFont="1" applyBorder="1" applyAlignment="1">
      <alignment vertical="center"/>
    </xf>
    <xf numFmtId="0" fontId="52" fillId="2" borderId="2" xfId="294" applyFont="1" applyFill="1" applyBorder="1" applyAlignment="1">
      <alignment horizontal="center" vertical="center" wrapText="1"/>
    </xf>
    <xf numFmtId="9" fontId="39" fillId="0" borderId="2" xfId="0" applyNumberFormat="1" applyFont="1" applyBorder="1"/>
    <xf numFmtId="0" fontId="39" fillId="0" borderId="2" xfId="0" applyFont="1" applyBorder="1" applyAlignment="1">
      <alignment horizontal="center"/>
    </xf>
    <xf numFmtId="0" fontId="39" fillId="0" borderId="0" xfId="22" applyFont="1" applyAlignment="1">
      <alignment horizontal="center"/>
    </xf>
    <xf numFmtId="0" fontId="45" fillId="0" borderId="0" xfId="22" applyFont="1"/>
    <xf numFmtId="0" fontId="38" fillId="0" borderId="0" xfId="22" applyFont="1" applyAlignment="1">
      <alignment horizontal="center"/>
    </xf>
    <xf numFmtId="2" fontId="39" fillId="0" borderId="0" xfId="22" applyNumberFormat="1" applyFont="1" applyAlignment="1">
      <alignment horizontal="center"/>
    </xf>
    <xf numFmtId="0" fontId="62" fillId="0" borderId="0" xfId="22" applyFont="1"/>
    <xf numFmtId="49" fontId="58" fillId="0" borderId="0" xfId="22" applyNumberFormat="1" applyFont="1"/>
    <xf numFmtId="0" fontId="52" fillId="2" borderId="2" xfId="22" applyFont="1" applyFill="1" applyBorder="1" applyAlignment="1">
      <alignment horizontal="center" vertical="center" wrapText="1"/>
    </xf>
    <xf numFmtId="5" fontId="10" fillId="0" borderId="5" xfId="295" applyNumberFormat="1" applyFont="1" applyBorder="1" applyAlignment="1">
      <alignment vertical="center"/>
    </xf>
    <xf numFmtId="43" fontId="8" fillId="0" borderId="2" xfId="2" applyFont="1" applyBorder="1" applyAlignment="1">
      <alignment vertical="center"/>
    </xf>
    <xf numFmtId="167" fontId="38" fillId="0" borderId="0" xfId="3" applyNumberFormat="1" applyFont="1" applyFill="1" applyBorder="1" applyAlignment="1">
      <alignment vertical="center"/>
    </xf>
    <xf numFmtId="0" fontId="0" fillId="0" borderId="2" xfId="0" applyBorder="1" applyAlignment="1">
      <alignment horizontal="left" vertical="center"/>
    </xf>
    <xf numFmtId="43" fontId="0" fillId="0" borderId="2" xfId="0" applyNumberFormat="1" applyBorder="1" applyAlignment="1">
      <alignment vertical="center"/>
    </xf>
    <xf numFmtId="165" fontId="0" fillId="0" borderId="2" xfId="0" applyNumberFormat="1" applyBorder="1" applyAlignment="1">
      <alignment vertical="center"/>
    </xf>
    <xf numFmtId="164" fontId="10" fillId="0" borderId="0" xfId="0" applyNumberFormat="1" applyFont="1" applyAlignment="1">
      <alignment vertical="center"/>
    </xf>
    <xf numFmtId="10" fontId="0" fillId="0" borderId="0" xfId="1" applyNumberFormat="1" applyFont="1" applyAlignment="1">
      <alignment vertical="center"/>
    </xf>
    <xf numFmtId="43" fontId="0" fillId="0" borderId="0" xfId="2" applyFont="1" applyAlignment="1">
      <alignment vertical="center"/>
    </xf>
    <xf numFmtId="0" fontId="42" fillId="0" borderId="0" xfId="0" applyFont="1" applyAlignment="1">
      <alignment vertical="center"/>
    </xf>
    <xf numFmtId="5" fontId="10" fillId="0" borderId="2" xfId="0" applyNumberFormat="1" applyFont="1" applyBorder="1" applyAlignment="1">
      <alignment vertical="center"/>
    </xf>
    <xf numFmtId="165" fontId="10" fillId="0" borderId="28" xfId="0" applyNumberFormat="1" applyFont="1" applyBorder="1" applyAlignment="1">
      <alignment vertical="center"/>
    </xf>
    <xf numFmtId="166" fontId="51" fillId="0" borderId="0" xfId="2" applyNumberFormat="1" applyFont="1" applyFill="1" applyBorder="1" applyAlignment="1">
      <alignment vertical="center"/>
    </xf>
    <xf numFmtId="37" fontId="51" fillId="0" borderId="0" xfId="0" applyNumberFormat="1" applyFont="1" applyAlignment="1">
      <alignment vertical="center"/>
    </xf>
    <xf numFmtId="0" fontId="0" fillId="0" borderId="0" xfId="0" applyAlignment="1">
      <alignment vertical="center" wrapText="1"/>
    </xf>
    <xf numFmtId="166" fontId="0" fillId="0" borderId="0" xfId="2" applyNumberFormat="1" applyFont="1" applyBorder="1" applyAlignment="1">
      <alignment vertical="center"/>
    </xf>
    <xf numFmtId="166" fontId="0" fillId="0" borderId="0" xfId="0" applyNumberFormat="1" applyAlignment="1">
      <alignment vertical="center"/>
    </xf>
    <xf numFmtId="49" fontId="10" fillId="0" borderId="0" xfId="0" applyNumberFormat="1" applyFont="1" applyAlignment="1">
      <alignment vertical="center"/>
    </xf>
    <xf numFmtId="49" fontId="52" fillId="0" borderId="0" xfId="0" applyNumberFormat="1" applyFont="1" applyAlignment="1">
      <alignment vertical="center"/>
    </xf>
    <xf numFmtId="166" fontId="64" fillId="31" borderId="0" xfId="2" applyNumberFormat="1" applyFont="1" applyFill="1" applyBorder="1" applyAlignment="1">
      <alignment horizontal="center" vertical="center" wrapText="1"/>
    </xf>
    <xf numFmtId="0" fontId="63" fillId="31" borderId="0" xfId="0" applyFont="1" applyFill="1" applyAlignment="1">
      <alignment vertical="center"/>
    </xf>
    <xf numFmtId="0" fontId="64" fillId="31" borderId="0" xfId="6" applyFont="1" applyFill="1" applyAlignment="1">
      <alignment horizontal="center" vertical="center" wrapText="1"/>
    </xf>
    <xf numFmtId="166" fontId="63" fillId="31" borderId="0" xfId="2" applyNumberFormat="1" applyFont="1" applyFill="1" applyBorder="1" applyAlignment="1">
      <alignment vertical="center"/>
    </xf>
    <xf numFmtId="10" fontId="63" fillId="31" borderId="0" xfId="1" applyNumberFormat="1" applyFont="1" applyFill="1" applyBorder="1" applyAlignment="1">
      <alignment vertical="center"/>
    </xf>
    <xf numFmtId="3" fontId="63" fillId="31" borderId="0" xfId="0" applyNumberFormat="1" applyFont="1" applyFill="1" applyAlignment="1">
      <alignment vertical="center"/>
    </xf>
    <xf numFmtId="166" fontId="64" fillId="31" borderId="0" xfId="2" applyNumberFormat="1" applyFont="1" applyFill="1" applyBorder="1" applyAlignment="1">
      <alignment vertical="center"/>
    </xf>
    <xf numFmtId="10" fontId="64" fillId="31" borderId="0" xfId="1" applyNumberFormat="1" applyFont="1" applyFill="1" applyBorder="1" applyAlignment="1">
      <alignment vertical="center"/>
    </xf>
    <xf numFmtId="166" fontId="38" fillId="0" borderId="0" xfId="0" applyNumberFormat="1" applyFont="1" applyAlignment="1">
      <alignment vertical="center"/>
    </xf>
    <xf numFmtId="166" fontId="39" fillId="0" borderId="0" xfId="0" applyNumberFormat="1" applyFont="1" applyAlignment="1">
      <alignment vertical="center"/>
    </xf>
    <xf numFmtId="166" fontId="0" fillId="0" borderId="2" xfId="292" applyNumberFormat="1" applyFont="1" applyBorder="1" applyAlignment="1">
      <alignment vertical="center"/>
    </xf>
    <xf numFmtId="10" fontId="10" fillId="0" borderId="28" xfId="1" applyNumberFormat="1" applyFont="1" applyBorder="1" applyAlignment="1">
      <alignment vertical="center"/>
    </xf>
    <xf numFmtId="0" fontId="55" fillId="0" borderId="0" xfId="0" applyFont="1" applyAlignment="1">
      <alignment vertical="center"/>
    </xf>
    <xf numFmtId="166" fontId="0" fillId="0" borderId="2" xfId="2" applyNumberFormat="1" applyFont="1" applyFill="1" applyBorder="1" applyAlignment="1">
      <alignment horizontal="right" vertical="center"/>
    </xf>
    <xf numFmtId="166" fontId="10" fillId="0" borderId="2" xfId="2" applyNumberFormat="1" applyFont="1" applyFill="1" applyBorder="1" applyAlignment="1">
      <alignment horizontal="right" vertical="center"/>
    </xf>
    <xf numFmtId="5" fontId="0" fillId="0" borderId="2" xfId="292" applyNumberFormat="1" applyFont="1" applyBorder="1" applyAlignment="1">
      <alignment vertical="center"/>
    </xf>
    <xf numFmtId="5" fontId="0" fillId="0" borderId="2" xfId="2" applyNumberFormat="1" applyFont="1" applyFill="1" applyBorder="1" applyAlignment="1">
      <alignment vertical="center"/>
    </xf>
    <xf numFmtId="5" fontId="10" fillId="0" borderId="28" xfId="292" applyNumberFormat="1" applyFont="1" applyBorder="1" applyAlignment="1">
      <alignment vertical="center"/>
    </xf>
    <xf numFmtId="5" fontId="10" fillId="0" borderId="28" xfId="2" applyNumberFormat="1" applyFont="1" applyBorder="1" applyAlignment="1">
      <alignment vertical="center"/>
    </xf>
    <xf numFmtId="164" fontId="0" fillId="0" borderId="2" xfId="0" applyNumberFormat="1" applyBorder="1" applyAlignment="1">
      <alignment horizontal="center" vertical="center"/>
    </xf>
    <xf numFmtId="2" fontId="0" fillId="0" borderId="0" xfId="0" applyNumberFormat="1" applyAlignment="1">
      <alignment vertical="center"/>
    </xf>
    <xf numFmtId="1" fontId="10" fillId="0" borderId="0" xfId="0" applyNumberFormat="1" applyFont="1" applyAlignment="1">
      <alignment horizontal="center" vertical="center"/>
    </xf>
    <xf numFmtId="2" fontId="0" fillId="0" borderId="2" xfId="0" applyNumberFormat="1" applyBorder="1" applyAlignment="1">
      <alignment vertical="center"/>
    </xf>
    <xf numFmtId="1" fontId="0" fillId="0" borderId="2" xfId="2" applyNumberFormat="1" applyFont="1" applyBorder="1" applyAlignment="1">
      <alignment horizontal="center" vertical="center"/>
    </xf>
    <xf numFmtId="2" fontId="10" fillId="39" borderId="2" xfId="0" applyNumberFormat="1" applyFont="1" applyFill="1" applyBorder="1" applyAlignment="1">
      <alignment horizontal="center" vertical="center" wrapText="1"/>
    </xf>
    <xf numFmtId="3" fontId="10" fillId="39"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wrapText="1"/>
    </xf>
    <xf numFmtId="0" fontId="10" fillId="39" borderId="2" xfId="0" applyFont="1" applyFill="1" applyBorder="1" applyAlignment="1">
      <alignment horizontal="center" vertical="center" wrapText="1"/>
    </xf>
    <xf numFmtId="0" fontId="8" fillId="0" borderId="0" xfId="299" applyFont="1" applyAlignment="1">
      <alignment vertical="center"/>
    </xf>
    <xf numFmtId="0" fontId="66" fillId="0" borderId="0" xfId="299" applyFont="1" applyAlignment="1">
      <alignment vertical="center"/>
    </xf>
    <xf numFmtId="0" fontId="10" fillId="0" borderId="0" xfId="299" applyFont="1" applyAlignment="1">
      <alignment horizontal="left" vertical="center"/>
    </xf>
    <xf numFmtId="0" fontId="10" fillId="2" borderId="2" xfId="299" applyFont="1" applyFill="1" applyBorder="1" applyAlignment="1">
      <alignment horizontal="center" vertical="center" wrapText="1"/>
    </xf>
    <xf numFmtId="167" fontId="8" fillId="0" borderId="2" xfId="299" applyNumberFormat="1" applyFont="1" applyBorder="1" applyAlignment="1">
      <alignment vertical="center"/>
    </xf>
    <xf numFmtId="166" fontId="66" fillId="0" borderId="0" xfId="2" applyNumberFormat="1" applyFont="1" applyAlignment="1">
      <alignment vertical="center"/>
    </xf>
    <xf numFmtId="43" fontId="8" fillId="0" borderId="0" xfId="299" applyNumberFormat="1" applyFont="1" applyAlignment="1">
      <alignment vertical="center"/>
    </xf>
    <xf numFmtId="166" fontId="8" fillId="0" borderId="0" xfId="299" applyNumberFormat="1" applyFont="1" applyAlignment="1">
      <alignment vertical="center"/>
    </xf>
    <xf numFmtId="166" fontId="66" fillId="0" borderId="0" xfId="299" applyNumberFormat="1" applyFont="1" applyAlignment="1">
      <alignment vertical="center"/>
    </xf>
    <xf numFmtId="0" fontId="10" fillId="0" borderId="0" xfId="299" applyFont="1" applyAlignment="1">
      <alignment horizontal="center" vertical="center" wrapText="1"/>
    </xf>
    <xf numFmtId="167" fontId="8" fillId="0" borderId="0" xfId="299" applyNumberFormat="1" applyFont="1" applyAlignment="1">
      <alignment vertical="center"/>
    </xf>
    <xf numFmtId="0" fontId="55" fillId="0" borderId="0" xfId="299" applyFont="1" applyAlignment="1">
      <alignment vertical="center"/>
    </xf>
    <xf numFmtId="49" fontId="42" fillId="0" borderId="0" xfId="2" applyNumberFormat="1" applyFont="1" applyFill="1" applyAlignment="1">
      <alignment horizontal="left" vertical="center"/>
    </xf>
    <xf numFmtId="37" fontId="8" fillId="0" borderId="2" xfId="2" applyNumberFormat="1" applyFont="1" applyBorder="1" applyAlignment="1">
      <alignment horizontal="center" vertical="center"/>
    </xf>
    <xf numFmtId="166" fontId="10" fillId="0" borderId="2" xfId="2" applyNumberFormat="1" applyFont="1" applyBorder="1" applyAlignment="1">
      <alignment vertical="center"/>
    </xf>
    <xf numFmtId="168" fontId="10" fillId="0" borderId="0" xfId="2" applyNumberFormat="1" applyFont="1" applyFill="1" applyAlignment="1">
      <alignment horizontal="center" vertical="center"/>
    </xf>
    <xf numFmtId="0" fontId="10" fillId="0" borderId="0" xfId="299" applyFont="1" applyAlignment="1">
      <alignment horizontal="center" vertical="center"/>
    </xf>
    <xf numFmtId="0" fontId="8" fillId="0" borderId="2" xfId="299" applyFont="1" applyBorder="1" applyAlignment="1">
      <alignment horizontal="center" vertical="center"/>
    </xf>
    <xf numFmtId="0" fontId="8" fillId="0" borderId="0" xfId="299" applyFont="1" applyAlignment="1">
      <alignment horizontal="center" vertical="center"/>
    </xf>
    <xf numFmtId="0" fontId="10" fillId="0" borderId="0" xfId="299" applyFont="1" applyAlignment="1">
      <alignment vertical="center"/>
    </xf>
    <xf numFmtId="0" fontId="10" fillId="0" borderId="0" xfId="299" applyFont="1" applyAlignment="1">
      <alignment horizontal="right" vertical="center"/>
    </xf>
    <xf numFmtId="0" fontId="52" fillId="2" borderId="2" xfId="299" applyFont="1" applyFill="1" applyBorder="1" applyAlignment="1">
      <alignment horizontal="center" vertical="center" wrapText="1"/>
    </xf>
    <xf numFmtId="164" fontId="8" fillId="0" borderId="2" xfId="2" applyNumberFormat="1" applyFont="1" applyFill="1" applyBorder="1" applyAlignment="1">
      <alignment vertical="center"/>
    </xf>
    <xf numFmtId="164" fontId="10" fillId="0" borderId="2" xfId="2" applyNumberFormat="1" applyFont="1" applyFill="1" applyBorder="1" applyAlignment="1">
      <alignment vertical="center"/>
    </xf>
    <xf numFmtId="0" fontId="50" fillId="0" borderId="0" xfId="299" applyFont="1" applyAlignment="1">
      <alignment horizontal="center" vertical="center" wrapText="1"/>
    </xf>
    <xf numFmtId="0" fontId="0" fillId="33" borderId="2" xfId="0" applyFill="1" applyBorder="1" applyAlignment="1">
      <alignment horizontal="center" vertical="center" wrapText="1"/>
    </xf>
    <xf numFmtId="0" fontId="39" fillId="40" borderId="2" xfId="0" applyFont="1" applyFill="1" applyBorder="1" applyAlignment="1">
      <alignment horizontal="center"/>
    </xf>
    <xf numFmtId="166" fontId="10" fillId="0" borderId="5" xfId="0" applyNumberFormat="1" applyFont="1" applyBorder="1" applyAlignment="1">
      <alignment vertical="center"/>
    </xf>
    <xf numFmtId="1" fontId="0" fillId="0" borderId="0" xfId="0" applyNumberFormat="1" applyAlignment="1">
      <alignment vertical="center"/>
    </xf>
    <xf numFmtId="0" fontId="10" fillId="2" borderId="2" xfId="0" applyFont="1" applyFill="1" applyBorder="1" applyAlignment="1">
      <alignment horizontal="center" vertical="center"/>
    </xf>
    <xf numFmtId="168" fontId="61" fillId="0" borderId="0" xfId="2" applyNumberFormat="1" applyFont="1" applyBorder="1" applyAlignment="1">
      <alignment horizontal="center" vertical="center" wrapText="1"/>
    </xf>
    <xf numFmtId="168" fontId="67" fillId="0" borderId="0" xfId="2" applyNumberFormat="1" applyFont="1" applyBorder="1" applyAlignment="1">
      <alignment vertical="center" wrapText="1"/>
    </xf>
    <xf numFmtId="0" fontId="51" fillId="0" borderId="0" xfId="22" applyFont="1"/>
    <xf numFmtId="0" fontId="9" fillId="0" borderId="0" xfId="0" applyFont="1" applyAlignment="1">
      <alignment horizontal="left" vertical="center"/>
    </xf>
    <xf numFmtId="168" fontId="51" fillId="0" borderId="0" xfId="2" applyNumberFormat="1" applyFont="1" applyBorder="1" applyAlignment="1">
      <alignment vertical="center"/>
    </xf>
    <xf numFmtId="43" fontId="51" fillId="0" borderId="0" xfId="299" applyNumberFormat="1" applyFont="1" applyAlignment="1">
      <alignment vertical="center"/>
    </xf>
    <xf numFmtId="9" fontId="9" fillId="0" borderId="0" xfId="0" applyNumberFormat="1" applyFont="1" applyAlignment="1">
      <alignment vertical="center"/>
    </xf>
    <xf numFmtId="164" fontId="9" fillId="0" borderId="0" xfId="0" applyNumberFormat="1" applyFont="1" applyAlignment="1">
      <alignment vertical="center"/>
    </xf>
    <xf numFmtId="0" fontId="9" fillId="0" borderId="0" xfId="0" applyFont="1" applyAlignment="1">
      <alignment horizontal="center" vertical="center"/>
    </xf>
    <xf numFmtId="37" fontId="9" fillId="0" borderId="0" xfId="0" applyNumberFormat="1" applyFont="1" applyAlignment="1">
      <alignment vertical="center"/>
    </xf>
    <xf numFmtId="166" fontId="9" fillId="0" borderId="0" xfId="2" applyNumberFormat="1" applyFont="1" applyFill="1" applyBorder="1" applyAlignment="1">
      <alignment vertical="center"/>
    </xf>
    <xf numFmtId="0" fontId="74" fillId="0" borderId="0" xfId="0" applyFont="1" applyAlignment="1">
      <alignment vertical="center"/>
    </xf>
    <xf numFmtId="0" fontId="68" fillId="0" borderId="0" xfId="0" applyFont="1" applyAlignment="1">
      <alignment vertical="center"/>
    </xf>
    <xf numFmtId="166" fontId="0" fillId="0" borderId="2" xfId="2" applyNumberFormat="1" applyFont="1" applyBorder="1" applyAlignment="1">
      <alignment vertical="center"/>
    </xf>
    <xf numFmtId="0" fontId="10" fillId="38" borderId="7" xfId="0" applyFont="1" applyFill="1" applyBorder="1" applyAlignment="1">
      <alignment horizontal="center" vertical="center" wrapText="1"/>
    </xf>
    <xf numFmtId="41" fontId="0" fillId="0" borderId="2" xfId="2" applyNumberFormat="1" applyFont="1" applyFill="1" applyBorder="1" applyAlignment="1">
      <alignment vertical="center"/>
    </xf>
    <xf numFmtId="164" fontId="0" fillId="0" borderId="0" xfId="2" applyNumberFormat="1" applyFont="1" applyFill="1" applyBorder="1" applyAlignment="1">
      <alignment vertical="center"/>
    </xf>
    <xf numFmtId="0" fontId="0" fillId="0" borderId="2" xfId="0" applyBorder="1" applyAlignment="1">
      <alignment horizontal="center"/>
    </xf>
    <xf numFmtId="0" fontId="0" fillId="0" borderId="0" xfId="0" applyAlignment="1">
      <alignment horizontal="center"/>
    </xf>
    <xf numFmtId="166" fontId="0" fillId="0" borderId="2" xfId="0" applyNumberFormat="1" applyBorder="1"/>
    <xf numFmtId="0" fontId="50" fillId="34" borderId="2" xfId="2" applyNumberFormat="1" applyFont="1" applyFill="1" applyBorder="1" applyAlignment="1">
      <alignment horizontal="center" vertical="center" wrapText="1"/>
    </xf>
    <xf numFmtId="2" fontId="0" fillId="0" borderId="0" xfId="0" applyNumberFormat="1"/>
    <xf numFmtId="2" fontId="0" fillId="0" borderId="0" xfId="0" applyNumberFormat="1" applyAlignment="1">
      <alignment horizontal="left" vertical="top"/>
    </xf>
    <xf numFmtId="0" fontId="0" fillId="0" borderId="0" xfId="0" applyAlignment="1">
      <alignment horizontal="left" vertical="top"/>
    </xf>
    <xf numFmtId="4" fontId="0" fillId="0" borderId="0" xfId="0" applyNumberFormat="1"/>
    <xf numFmtId="43" fontId="42" fillId="0" borderId="0" xfId="0" applyNumberFormat="1" applyFont="1" applyAlignment="1">
      <alignment horizontal="left" vertical="top"/>
    </xf>
    <xf numFmtId="2" fontId="39" fillId="0" borderId="2" xfId="0" applyNumberFormat="1" applyFont="1" applyBorder="1"/>
    <xf numFmtId="5" fontId="8" fillId="0" borderId="0" xfId="0" applyNumberFormat="1" applyFont="1" applyAlignment="1">
      <alignment vertical="center"/>
    </xf>
    <xf numFmtId="0" fontId="76" fillId="0" borderId="0" xfId="0" applyFont="1" applyAlignment="1">
      <alignment vertical="center"/>
    </xf>
    <xf numFmtId="0" fontId="9" fillId="0" borderId="0" xfId="0" applyFont="1" applyAlignment="1">
      <alignment vertical="center" wrapText="1"/>
    </xf>
    <xf numFmtId="169" fontId="9" fillId="0" borderId="0" xfId="1" applyNumberFormat="1" applyFont="1" applyFill="1" applyBorder="1" applyAlignment="1">
      <alignment vertical="center"/>
    </xf>
    <xf numFmtId="0" fontId="39" fillId="0" borderId="0" xfId="22" applyFont="1" applyAlignment="1">
      <alignment horizontal="left"/>
    </xf>
    <xf numFmtId="0" fontId="0" fillId="0" borderId="2" xfId="0" applyBorder="1" applyAlignment="1">
      <alignment horizontal="left"/>
    </xf>
    <xf numFmtId="2" fontId="10" fillId="0" borderId="2" xfId="0" applyNumberFormat="1" applyFont="1" applyBorder="1" applyAlignment="1">
      <alignment vertical="center"/>
    </xf>
    <xf numFmtId="43" fontId="0" fillId="0" borderId="0" xfId="2" applyFont="1" applyBorder="1" applyAlignment="1">
      <alignment vertical="center"/>
    </xf>
    <xf numFmtId="4" fontId="0" fillId="0" borderId="0" xfId="0" applyNumberFormat="1" applyAlignment="1">
      <alignment vertical="center"/>
    </xf>
    <xf numFmtId="1" fontId="8" fillId="0" borderId="0" xfId="294" applyNumberFormat="1" applyFont="1" applyAlignment="1">
      <alignment vertical="center"/>
    </xf>
    <xf numFmtId="43" fontId="8" fillId="0" borderId="0" xfId="294" applyNumberFormat="1" applyFont="1" applyAlignment="1">
      <alignment vertical="center"/>
    </xf>
    <xf numFmtId="6" fontId="8" fillId="0" borderId="0" xfId="294" applyNumberFormat="1" applyFont="1" applyAlignment="1">
      <alignment vertical="center"/>
    </xf>
    <xf numFmtId="6" fontId="8" fillId="0" borderId="0" xfId="2" applyNumberFormat="1" applyFont="1" applyAlignment="1">
      <alignment vertical="center"/>
    </xf>
    <xf numFmtId="40" fontId="8" fillId="0" borderId="0" xfId="294" applyNumberFormat="1" applyFont="1" applyAlignment="1">
      <alignment vertical="center"/>
    </xf>
    <xf numFmtId="9" fontId="8" fillId="0" borderId="0" xfId="1" applyFont="1" applyAlignment="1">
      <alignment vertical="center"/>
    </xf>
    <xf numFmtId="43" fontId="0" fillId="0" borderId="2" xfId="2" applyFont="1" applyBorder="1"/>
    <xf numFmtId="170" fontId="0" fillId="0" borderId="2" xfId="3" applyNumberFormat="1" applyFont="1" applyBorder="1"/>
    <xf numFmtId="170" fontId="10" fillId="0" borderId="2" xfId="2" applyNumberFormat="1" applyFont="1" applyBorder="1"/>
    <xf numFmtId="171" fontId="9" fillId="0" borderId="0" xfId="2" applyNumberFormat="1" applyFont="1" applyFill="1" applyBorder="1" applyAlignment="1">
      <alignment vertical="center"/>
    </xf>
    <xf numFmtId="2" fontId="39" fillId="0" borderId="0" xfId="22" applyNumberFormat="1" applyFont="1"/>
    <xf numFmtId="0" fontId="10" fillId="0" borderId="2" xfId="0" applyFont="1" applyBorder="1"/>
    <xf numFmtId="166" fontId="8" fillId="0" borderId="2" xfId="2" applyNumberFormat="1" applyFont="1" applyBorder="1" applyAlignment="1">
      <alignment vertical="center"/>
    </xf>
    <xf numFmtId="9" fontId="0" fillId="0" borderId="0" xfId="1" applyFont="1" applyAlignment="1">
      <alignment vertical="center"/>
    </xf>
    <xf numFmtId="165" fontId="0" fillId="0" borderId="0" xfId="1" applyNumberFormat="1" applyFont="1" applyAlignment="1">
      <alignment vertical="center"/>
    </xf>
    <xf numFmtId="166" fontId="0" fillId="0" borderId="0" xfId="2" applyNumberFormat="1" applyFont="1" applyAlignment="1">
      <alignment vertical="center"/>
    </xf>
    <xf numFmtId="165" fontId="0" fillId="0" borderId="0" xfId="2" applyNumberFormat="1" applyFont="1" applyAlignment="1">
      <alignment vertical="center"/>
    </xf>
    <xf numFmtId="0" fontId="0" fillId="0" borderId="0" xfId="2" applyNumberFormat="1" applyFont="1" applyAlignment="1">
      <alignment vertical="center"/>
    </xf>
    <xf numFmtId="2" fontId="0" fillId="0" borderId="0" xfId="1" applyNumberFormat="1" applyFont="1" applyAlignment="1">
      <alignment vertical="center"/>
    </xf>
    <xf numFmtId="3" fontId="0" fillId="0" borderId="0" xfId="2" applyNumberFormat="1" applyFont="1" applyAlignment="1">
      <alignment vertical="center"/>
    </xf>
    <xf numFmtId="164" fontId="0" fillId="0" borderId="2" xfId="3" applyNumberFormat="1" applyFont="1" applyBorder="1" applyAlignment="1">
      <alignment vertical="center"/>
    </xf>
    <xf numFmtId="37" fontId="10" fillId="0" borderId="2" xfId="0" applyNumberFormat="1" applyFont="1" applyBorder="1" applyAlignment="1">
      <alignment vertical="center"/>
    </xf>
    <xf numFmtId="0" fontId="61" fillId="0" borderId="0" xfId="0" applyFont="1" applyAlignment="1">
      <alignment horizontal="left" vertical="center" wrapText="1"/>
    </xf>
    <xf numFmtId="0" fontId="50" fillId="35"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32" borderId="2" xfId="0" applyFont="1" applyFill="1" applyBorder="1" applyAlignment="1">
      <alignment horizontal="center" vertical="center" wrapText="1"/>
    </xf>
    <xf numFmtId="0" fontId="10" fillId="26" borderId="7" xfId="0" applyFont="1" applyFill="1" applyBorder="1" applyAlignment="1">
      <alignment horizontal="center" vertical="center"/>
    </xf>
    <xf numFmtId="0" fontId="10" fillId="26" borderId="3" xfId="0" applyFont="1" applyFill="1" applyBorder="1" applyAlignment="1">
      <alignment horizontal="center" vertical="center"/>
    </xf>
    <xf numFmtId="0" fontId="10" fillId="32" borderId="4" xfId="0" applyFont="1" applyFill="1" applyBorder="1" applyAlignment="1">
      <alignment horizontal="center" vertical="center" wrapText="1"/>
    </xf>
    <xf numFmtId="0" fontId="10" fillId="32" borderId="5" xfId="0" applyFont="1" applyFill="1" applyBorder="1" applyAlignment="1">
      <alignment horizontal="center" vertical="center" wrapText="1"/>
    </xf>
    <xf numFmtId="0" fontId="10" fillId="32" borderId="6" xfId="0" applyFont="1" applyFill="1" applyBorder="1" applyAlignment="1">
      <alignment horizontal="center" vertical="center" wrapText="1"/>
    </xf>
    <xf numFmtId="0" fontId="50" fillId="37" borderId="2" xfId="0" applyFont="1" applyFill="1" applyBorder="1" applyAlignment="1">
      <alignment horizontal="center" vertical="center" wrapText="1"/>
    </xf>
    <xf numFmtId="0" fontId="10" fillId="33" borderId="2" xfId="0" applyFont="1" applyFill="1" applyBorder="1" applyAlignment="1">
      <alignment horizontal="center" vertical="center" wrapText="1"/>
    </xf>
    <xf numFmtId="0" fontId="45" fillId="26" borderId="7" xfId="22" applyFont="1" applyFill="1" applyBorder="1" applyAlignment="1">
      <alignment horizontal="center" vertical="center"/>
    </xf>
    <xf numFmtId="0" fontId="45" fillId="26" borderId="3" xfId="22" applyFont="1" applyFill="1" applyBorder="1" applyAlignment="1">
      <alignment horizontal="center" vertical="center"/>
    </xf>
    <xf numFmtId="0" fontId="44" fillId="26" borderId="7" xfId="22" applyFont="1" applyFill="1" applyBorder="1" applyAlignment="1">
      <alignment horizontal="center" vertical="center" wrapText="1"/>
    </xf>
    <xf numFmtId="0" fontId="44" fillId="26" borderId="3" xfId="22" applyFont="1" applyFill="1" applyBorder="1" applyAlignment="1">
      <alignment horizontal="center" vertical="center" wrapText="1"/>
    </xf>
    <xf numFmtId="166" fontId="50" fillId="34" borderId="4" xfId="2" applyNumberFormat="1" applyFont="1" applyFill="1" applyBorder="1" applyAlignment="1">
      <alignment horizontal="center" vertical="center" wrapText="1"/>
    </xf>
    <xf numFmtId="166" fontId="50" fillId="34" borderId="5" xfId="2" applyNumberFormat="1" applyFont="1" applyFill="1" applyBorder="1" applyAlignment="1">
      <alignment horizontal="center" vertical="center" wrapText="1"/>
    </xf>
    <xf numFmtId="166" fontId="50" fillId="34" borderId="2" xfId="2" applyNumberFormat="1" applyFont="1" applyFill="1" applyBorder="1" applyAlignment="1">
      <alignment horizontal="center" vertical="center" wrapText="1"/>
    </xf>
    <xf numFmtId="0" fontId="10" fillId="26" borderId="2" xfId="0" applyFont="1" applyFill="1" applyBorder="1" applyAlignment="1">
      <alignment horizontal="center" vertical="center"/>
    </xf>
    <xf numFmtId="0" fontId="10" fillId="0" borderId="0" xfId="294" applyFont="1" applyAlignment="1">
      <alignment horizontal="right" vertical="center"/>
    </xf>
    <xf numFmtId="0" fontId="10" fillId="26" borderId="7" xfId="294" applyFont="1" applyFill="1" applyBorder="1" applyAlignment="1">
      <alignment horizontal="center" vertical="center" wrapText="1"/>
    </xf>
    <xf numFmtId="0" fontId="10" fillId="26" borderId="3" xfId="294" applyFont="1" applyFill="1" applyBorder="1" applyAlignment="1">
      <alignment horizontal="center" vertical="center" wrapText="1"/>
    </xf>
    <xf numFmtId="0" fontId="55" fillId="0" borderId="0" xfId="294" applyFont="1" applyAlignment="1">
      <alignment horizontal="left" vertical="center" wrapText="1"/>
    </xf>
    <xf numFmtId="0" fontId="10" fillId="26" borderId="7" xfId="299" applyFont="1" applyFill="1" applyBorder="1" applyAlignment="1">
      <alignment horizontal="center" vertical="center" wrapText="1"/>
    </xf>
    <xf numFmtId="0" fontId="10" fillId="26" borderId="3" xfId="299" applyFont="1" applyFill="1" applyBorder="1" applyAlignment="1">
      <alignment horizontal="center" vertical="center" wrapText="1"/>
    </xf>
    <xf numFmtId="0" fontId="10" fillId="33" borderId="4" xfId="0" applyFont="1" applyFill="1" applyBorder="1" applyAlignment="1">
      <alignment horizontal="center" vertical="center" wrapText="1"/>
    </xf>
    <xf numFmtId="0" fontId="10" fillId="33" borderId="6" xfId="0" applyFont="1" applyFill="1" applyBorder="1" applyAlignment="1">
      <alignment horizontal="center" vertical="center" wrapText="1"/>
    </xf>
    <xf numFmtId="0" fontId="10" fillId="26" borderId="7" xfId="0" applyFont="1" applyFill="1" applyBorder="1" applyAlignment="1">
      <alignment horizontal="center" vertical="center" wrapText="1"/>
    </xf>
    <xf numFmtId="0" fontId="10" fillId="26" borderId="3" xfId="0" applyFont="1" applyFill="1" applyBorder="1" applyAlignment="1">
      <alignment horizontal="center" vertical="center" wrapText="1"/>
    </xf>
    <xf numFmtId="166" fontId="65" fillId="34" borderId="32" xfId="2" applyNumberFormat="1" applyFont="1" applyFill="1" applyBorder="1" applyAlignment="1">
      <alignment horizontal="center" vertical="center" wrapText="1"/>
    </xf>
    <xf numFmtId="166" fontId="65" fillId="34" borderId="30" xfId="2" applyNumberFormat="1" applyFont="1" applyFill="1" applyBorder="1" applyAlignment="1">
      <alignment horizontal="center" vertical="center" wrapText="1"/>
    </xf>
    <xf numFmtId="164" fontId="37" fillId="0" borderId="25" xfId="0" applyNumberFormat="1" applyFont="1" applyBorder="1" applyAlignment="1">
      <alignment horizontal="center" vertical="center"/>
    </xf>
    <xf numFmtId="164" fontId="37" fillId="0" borderId="34" xfId="0" applyNumberFormat="1" applyFont="1" applyBorder="1" applyAlignment="1">
      <alignment horizontal="center" vertical="center"/>
    </xf>
    <xf numFmtId="164" fontId="37" fillId="0" borderId="33" xfId="0" applyNumberFormat="1" applyFont="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164" fontId="37" fillId="0" borderId="26" xfId="0" applyNumberFormat="1" applyFont="1" applyBorder="1" applyAlignment="1">
      <alignment horizontal="center" vertical="center"/>
    </xf>
    <xf numFmtId="0" fontId="10" fillId="38" borderId="7" xfId="0" applyFont="1" applyFill="1" applyBorder="1" applyAlignment="1">
      <alignment horizontal="center" vertical="center" wrapText="1"/>
    </xf>
    <xf numFmtId="0" fontId="10" fillId="38" borderId="3" xfId="0" applyFont="1" applyFill="1" applyBorder="1" applyAlignment="1">
      <alignment horizontal="center" vertical="center" wrapText="1"/>
    </xf>
    <xf numFmtId="166" fontId="65" fillId="34" borderId="31" xfId="2" applyNumberFormat="1" applyFont="1" applyFill="1" applyBorder="1" applyAlignment="1">
      <alignment horizontal="center" vertical="center" wrapText="1"/>
    </xf>
    <xf numFmtId="166" fontId="65" fillId="34" borderId="29" xfId="2" applyNumberFormat="1" applyFont="1" applyFill="1" applyBorder="1" applyAlignment="1">
      <alignment horizontal="center" vertical="center" wrapText="1"/>
    </xf>
    <xf numFmtId="164" fontId="10" fillId="0" borderId="0" xfId="3" applyNumberFormat="1" applyFont="1" applyFill="1" applyBorder="1" applyAlignment="1">
      <alignment horizontal="center" vertical="center" wrapText="1"/>
    </xf>
    <xf numFmtId="0" fontId="10" fillId="26" borderId="2" xfId="291" applyFont="1" applyFill="1" applyBorder="1" applyAlignment="1">
      <alignment horizontal="center" vertical="center" wrapText="1"/>
    </xf>
    <xf numFmtId="10" fontId="10" fillId="26" borderId="2" xfId="1" applyNumberFormat="1" applyFont="1" applyFill="1" applyBorder="1" applyAlignment="1">
      <alignment horizontal="center" vertical="center" wrapText="1"/>
    </xf>
    <xf numFmtId="0" fontId="63" fillId="31" borderId="0" xfId="0" applyFont="1" applyFill="1" applyAlignment="1">
      <alignment horizontal="left" vertical="center" wrapText="1"/>
    </xf>
    <xf numFmtId="0" fontId="63" fillId="31" borderId="0" xfId="0" applyFont="1" applyFill="1" applyAlignment="1">
      <alignment horizontal="center" vertical="center"/>
    </xf>
  </cellXfs>
  <cellStyles count="330">
    <cellStyle name="%" xfId="283" xr:uid="{00000000-0005-0000-0000-000000000000}"/>
    <cellStyle name="20% - Accent1 2" xfId="48" xr:uid="{00000000-0005-0000-0000-000001000000}"/>
    <cellStyle name="20% - Accent1 3" xfId="49" xr:uid="{00000000-0005-0000-0000-000002000000}"/>
    <cellStyle name="20% - Accent1 4" xfId="50" xr:uid="{00000000-0005-0000-0000-000003000000}"/>
    <cellStyle name="20% - Accent1 5" xfId="51" xr:uid="{00000000-0005-0000-0000-000004000000}"/>
    <cellStyle name="20% - Accent1 6" xfId="52" xr:uid="{00000000-0005-0000-0000-000005000000}"/>
    <cellStyle name="20% - Accent1 7" xfId="329" xr:uid="{00000000-0005-0000-0000-000006000000}"/>
    <cellStyle name="20% - Accent2 2" xfId="53" xr:uid="{00000000-0005-0000-0000-000007000000}"/>
    <cellStyle name="20% - Accent2 3" xfId="54" xr:uid="{00000000-0005-0000-0000-000008000000}"/>
    <cellStyle name="20% - Accent2 4" xfId="55" xr:uid="{00000000-0005-0000-0000-000009000000}"/>
    <cellStyle name="20% - Accent2 5" xfId="56" xr:uid="{00000000-0005-0000-0000-00000A000000}"/>
    <cellStyle name="20% - Accent2 6" xfId="57" xr:uid="{00000000-0005-0000-0000-00000B000000}"/>
    <cellStyle name="20% - Accent3 2" xfId="58" xr:uid="{00000000-0005-0000-0000-00000C000000}"/>
    <cellStyle name="20% - Accent3 3" xfId="59" xr:uid="{00000000-0005-0000-0000-00000D000000}"/>
    <cellStyle name="20% - Accent3 4" xfId="60" xr:uid="{00000000-0005-0000-0000-00000E000000}"/>
    <cellStyle name="20% - Accent3 5" xfId="61" xr:uid="{00000000-0005-0000-0000-00000F000000}"/>
    <cellStyle name="20% - Accent3 6" xfId="62" xr:uid="{00000000-0005-0000-0000-000010000000}"/>
    <cellStyle name="20% - Accent3 7" xfId="326" xr:uid="{00000000-0005-0000-0000-000011000000}"/>
    <cellStyle name="20% - Accent4 2" xfId="63" xr:uid="{00000000-0005-0000-0000-000012000000}"/>
    <cellStyle name="20% - Accent4 3" xfId="64" xr:uid="{00000000-0005-0000-0000-000013000000}"/>
    <cellStyle name="20% - Accent4 4" xfId="65" xr:uid="{00000000-0005-0000-0000-000014000000}"/>
    <cellStyle name="20% - Accent4 5" xfId="66" xr:uid="{00000000-0005-0000-0000-000015000000}"/>
    <cellStyle name="20% - Accent4 6" xfId="67" xr:uid="{00000000-0005-0000-0000-000016000000}"/>
    <cellStyle name="20% - Accent5 2" xfId="68" xr:uid="{00000000-0005-0000-0000-000017000000}"/>
    <cellStyle name="20% - Accent5 3" xfId="69" xr:uid="{00000000-0005-0000-0000-000018000000}"/>
    <cellStyle name="20% - Accent5 4" xfId="70" xr:uid="{00000000-0005-0000-0000-000019000000}"/>
    <cellStyle name="20% - Accent5 5" xfId="71" xr:uid="{00000000-0005-0000-0000-00001A000000}"/>
    <cellStyle name="20% - Accent5 6" xfId="72" xr:uid="{00000000-0005-0000-0000-00001B000000}"/>
    <cellStyle name="20% - Accent6 2" xfId="73" xr:uid="{00000000-0005-0000-0000-00001C000000}"/>
    <cellStyle name="20% - Accent6 3" xfId="74" xr:uid="{00000000-0005-0000-0000-00001D000000}"/>
    <cellStyle name="20% - Accent6 4" xfId="75" xr:uid="{00000000-0005-0000-0000-00001E000000}"/>
    <cellStyle name="20% - Accent6 5" xfId="76" xr:uid="{00000000-0005-0000-0000-00001F000000}"/>
    <cellStyle name="20% - Accent6 6" xfId="77" xr:uid="{00000000-0005-0000-0000-000020000000}"/>
    <cellStyle name="20% - Accent6 7" xfId="327" xr:uid="{00000000-0005-0000-0000-000021000000}"/>
    <cellStyle name="40% - Accent1 2" xfId="78" xr:uid="{00000000-0005-0000-0000-000022000000}"/>
    <cellStyle name="40% - Accent1 3" xfId="79" xr:uid="{00000000-0005-0000-0000-000023000000}"/>
    <cellStyle name="40% - Accent1 4" xfId="80" xr:uid="{00000000-0005-0000-0000-000024000000}"/>
    <cellStyle name="40% - Accent1 5" xfId="81" xr:uid="{00000000-0005-0000-0000-000025000000}"/>
    <cellStyle name="40% - Accent1 6" xfId="82" xr:uid="{00000000-0005-0000-0000-000026000000}"/>
    <cellStyle name="40% - Accent2 2" xfId="83" xr:uid="{00000000-0005-0000-0000-000027000000}"/>
    <cellStyle name="40% - Accent2 3" xfId="84" xr:uid="{00000000-0005-0000-0000-000028000000}"/>
    <cellStyle name="40% - Accent2 4" xfId="85" xr:uid="{00000000-0005-0000-0000-000029000000}"/>
    <cellStyle name="40% - Accent2 5" xfId="86" xr:uid="{00000000-0005-0000-0000-00002A000000}"/>
    <cellStyle name="40% - Accent2 6" xfId="87" xr:uid="{00000000-0005-0000-0000-00002B000000}"/>
    <cellStyle name="40% - Accent3 2" xfId="88" xr:uid="{00000000-0005-0000-0000-00002C000000}"/>
    <cellStyle name="40% - Accent3 3" xfId="89" xr:uid="{00000000-0005-0000-0000-00002D000000}"/>
    <cellStyle name="40% - Accent3 4" xfId="90" xr:uid="{00000000-0005-0000-0000-00002E000000}"/>
    <cellStyle name="40% - Accent3 5" xfId="91" xr:uid="{00000000-0005-0000-0000-00002F000000}"/>
    <cellStyle name="40% - Accent3 6" xfId="92" xr:uid="{00000000-0005-0000-0000-000030000000}"/>
    <cellStyle name="40% - Accent4 2" xfId="93" xr:uid="{00000000-0005-0000-0000-000031000000}"/>
    <cellStyle name="40% - Accent4 3" xfId="94" xr:uid="{00000000-0005-0000-0000-000032000000}"/>
    <cellStyle name="40% - Accent4 4" xfId="95" xr:uid="{00000000-0005-0000-0000-000033000000}"/>
    <cellStyle name="40% - Accent4 5" xfId="96" xr:uid="{00000000-0005-0000-0000-000034000000}"/>
    <cellStyle name="40% - Accent4 6" xfId="97" xr:uid="{00000000-0005-0000-0000-000035000000}"/>
    <cellStyle name="40% - Accent5 2" xfId="98" xr:uid="{00000000-0005-0000-0000-000036000000}"/>
    <cellStyle name="40% - Accent5 3" xfId="99" xr:uid="{00000000-0005-0000-0000-000037000000}"/>
    <cellStyle name="40% - Accent5 4" xfId="100" xr:uid="{00000000-0005-0000-0000-000038000000}"/>
    <cellStyle name="40% - Accent5 5" xfId="101" xr:uid="{00000000-0005-0000-0000-000039000000}"/>
    <cellStyle name="40% - Accent5 6" xfId="102" xr:uid="{00000000-0005-0000-0000-00003A000000}"/>
    <cellStyle name="40% - Accent6 2" xfId="103" xr:uid="{00000000-0005-0000-0000-00003B000000}"/>
    <cellStyle name="40% - Accent6 3" xfId="104" xr:uid="{00000000-0005-0000-0000-00003C000000}"/>
    <cellStyle name="40% - Accent6 4" xfId="105" xr:uid="{00000000-0005-0000-0000-00003D000000}"/>
    <cellStyle name="40% - Accent6 5" xfId="106" xr:uid="{00000000-0005-0000-0000-00003E000000}"/>
    <cellStyle name="40% - Accent6 6" xfId="107" xr:uid="{00000000-0005-0000-0000-00003F000000}"/>
    <cellStyle name="60% - Accent1 2" xfId="108" xr:uid="{00000000-0005-0000-0000-000040000000}"/>
    <cellStyle name="60% - Accent1 3" xfId="109" xr:uid="{00000000-0005-0000-0000-000041000000}"/>
    <cellStyle name="60% - Accent1 4" xfId="110" xr:uid="{00000000-0005-0000-0000-000042000000}"/>
    <cellStyle name="60% - Accent1 5" xfId="111" xr:uid="{00000000-0005-0000-0000-000043000000}"/>
    <cellStyle name="60% - Accent1 6" xfId="112" xr:uid="{00000000-0005-0000-0000-000044000000}"/>
    <cellStyle name="60% - Accent2 2" xfId="113" xr:uid="{00000000-0005-0000-0000-000045000000}"/>
    <cellStyle name="60% - Accent2 3" xfId="114" xr:uid="{00000000-0005-0000-0000-000046000000}"/>
    <cellStyle name="60% - Accent2 4" xfId="115" xr:uid="{00000000-0005-0000-0000-000047000000}"/>
    <cellStyle name="60% - Accent2 5" xfId="116" xr:uid="{00000000-0005-0000-0000-000048000000}"/>
    <cellStyle name="60% - Accent2 6" xfId="117" xr:uid="{00000000-0005-0000-0000-000049000000}"/>
    <cellStyle name="60% - Accent3 2" xfId="118" xr:uid="{00000000-0005-0000-0000-00004A000000}"/>
    <cellStyle name="60% - Accent3 3" xfId="119" xr:uid="{00000000-0005-0000-0000-00004B000000}"/>
    <cellStyle name="60% - Accent3 4" xfId="120" xr:uid="{00000000-0005-0000-0000-00004C000000}"/>
    <cellStyle name="60% - Accent3 5" xfId="121" xr:uid="{00000000-0005-0000-0000-00004D000000}"/>
    <cellStyle name="60% - Accent3 6" xfId="122" xr:uid="{00000000-0005-0000-0000-00004E000000}"/>
    <cellStyle name="60% - Accent4 2" xfId="123" xr:uid="{00000000-0005-0000-0000-00004F000000}"/>
    <cellStyle name="60% - Accent4 3" xfId="124" xr:uid="{00000000-0005-0000-0000-000050000000}"/>
    <cellStyle name="60% - Accent4 4" xfId="125" xr:uid="{00000000-0005-0000-0000-000051000000}"/>
    <cellStyle name="60% - Accent4 5" xfId="126" xr:uid="{00000000-0005-0000-0000-000052000000}"/>
    <cellStyle name="60% - Accent4 6" xfId="127" xr:uid="{00000000-0005-0000-0000-000053000000}"/>
    <cellStyle name="60% - Accent5 2" xfId="128" xr:uid="{00000000-0005-0000-0000-000054000000}"/>
    <cellStyle name="60% - Accent5 3" xfId="129" xr:uid="{00000000-0005-0000-0000-000055000000}"/>
    <cellStyle name="60% - Accent5 4" xfId="130" xr:uid="{00000000-0005-0000-0000-000056000000}"/>
    <cellStyle name="60% - Accent5 5" xfId="131" xr:uid="{00000000-0005-0000-0000-000057000000}"/>
    <cellStyle name="60% - Accent5 6" xfId="132" xr:uid="{00000000-0005-0000-0000-000058000000}"/>
    <cellStyle name="60% - Accent6 2" xfId="133" xr:uid="{00000000-0005-0000-0000-000059000000}"/>
    <cellStyle name="60% - Accent6 3" xfId="134" xr:uid="{00000000-0005-0000-0000-00005A000000}"/>
    <cellStyle name="60% - Accent6 4" xfId="135" xr:uid="{00000000-0005-0000-0000-00005B000000}"/>
    <cellStyle name="60% - Accent6 5" xfId="136" xr:uid="{00000000-0005-0000-0000-00005C000000}"/>
    <cellStyle name="60% - Accent6 6" xfId="137" xr:uid="{00000000-0005-0000-0000-00005D000000}"/>
    <cellStyle name="Accent1 2" xfId="138" xr:uid="{00000000-0005-0000-0000-00005E000000}"/>
    <cellStyle name="Accent1 3" xfId="139" xr:uid="{00000000-0005-0000-0000-00005F000000}"/>
    <cellStyle name="Accent1 4" xfId="140" xr:uid="{00000000-0005-0000-0000-000060000000}"/>
    <cellStyle name="Accent1 5" xfId="141" xr:uid="{00000000-0005-0000-0000-000061000000}"/>
    <cellStyle name="Accent1 6" xfId="142" xr:uid="{00000000-0005-0000-0000-000062000000}"/>
    <cellStyle name="Accent2 2" xfId="143" xr:uid="{00000000-0005-0000-0000-000063000000}"/>
    <cellStyle name="Accent2 3" xfId="144" xr:uid="{00000000-0005-0000-0000-000064000000}"/>
    <cellStyle name="Accent2 4" xfId="145" xr:uid="{00000000-0005-0000-0000-000065000000}"/>
    <cellStyle name="Accent2 5" xfId="146" xr:uid="{00000000-0005-0000-0000-000066000000}"/>
    <cellStyle name="Accent2 6" xfId="147" xr:uid="{00000000-0005-0000-0000-000067000000}"/>
    <cellStyle name="Accent3 2" xfId="148" xr:uid="{00000000-0005-0000-0000-000068000000}"/>
    <cellStyle name="Accent3 3" xfId="149" xr:uid="{00000000-0005-0000-0000-000069000000}"/>
    <cellStyle name="Accent3 4" xfId="150" xr:uid="{00000000-0005-0000-0000-00006A000000}"/>
    <cellStyle name="Accent3 5" xfId="151" xr:uid="{00000000-0005-0000-0000-00006B000000}"/>
    <cellStyle name="Accent3 6" xfId="152" xr:uid="{00000000-0005-0000-0000-00006C000000}"/>
    <cellStyle name="Accent4 2" xfId="153" xr:uid="{00000000-0005-0000-0000-00006D000000}"/>
    <cellStyle name="Accent4 3" xfId="154" xr:uid="{00000000-0005-0000-0000-00006E000000}"/>
    <cellStyle name="Accent4 4" xfId="155" xr:uid="{00000000-0005-0000-0000-00006F000000}"/>
    <cellStyle name="Accent4 5" xfId="156" xr:uid="{00000000-0005-0000-0000-000070000000}"/>
    <cellStyle name="Accent4 6" xfId="157" xr:uid="{00000000-0005-0000-0000-000071000000}"/>
    <cellStyle name="Accent5 2" xfId="158" xr:uid="{00000000-0005-0000-0000-000072000000}"/>
    <cellStyle name="Accent5 3" xfId="159" xr:uid="{00000000-0005-0000-0000-000073000000}"/>
    <cellStyle name="Accent5 4" xfId="160" xr:uid="{00000000-0005-0000-0000-000074000000}"/>
    <cellStyle name="Accent5 5" xfId="161" xr:uid="{00000000-0005-0000-0000-000075000000}"/>
    <cellStyle name="Accent5 6" xfId="162" xr:uid="{00000000-0005-0000-0000-000076000000}"/>
    <cellStyle name="Accent6 2" xfId="163" xr:uid="{00000000-0005-0000-0000-000077000000}"/>
    <cellStyle name="Accent6 3" xfId="164" xr:uid="{00000000-0005-0000-0000-000078000000}"/>
    <cellStyle name="Accent6 4" xfId="165" xr:uid="{00000000-0005-0000-0000-000079000000}"/>
    <cellStyle name="Accent6 5" xfId="166" xr:uid="{00000000-0005-0000-0000-00007A000000}"/>
    <cellStyle name="Accent6 6" xfId="167" xr:uid="{00000000-0005-0000-0000-00007B000000}"/>
    <cellStyle name="Bad 2" xfId="168" xr:uid="{00000000-0005-0000-0000-00007C000000}"/>
    <cellStyle name="Bad 3" xfId="169" xr:uid="{00000000-0005-0000-0000-00007D000000}"/>
    <cellStyle name="Bad 4" xfId="170" xr:uid="{00000000-0005-0000-0000-00007E000000}"/>
    <cellStyle name="Bad 5" xfId="171" xr:uid="{00000000-0005-0000-0000-00007F000000}"/>
    <cellStyle name="Bad 6" xfId="172" xr:uid="{00000000-0005-0000-0000-000080000000}"/>
    <cellStyle name="Calculation 2" xfId="173" xr:uid="{00000000-0005-0000-0000-000081000000}"/>
    <cellStyle name="Calculation 3" xfId="174" xr:uid="{00000000-0005-0000-0000-000082000000}"/>
    <cellStyle name="Calculation 4" xfId="175" xr:uid="{00000000-0005-0000-0000-000083000000}"/>
    <cellStyle name="Calculation 5" xfId="176" xr:uid="{00000000-0005-0000-0000-000084000000}"/>
    <cellStyle name="Calculation 6" xfId="177" xr:uid="{00000000-0005-0000-0000-000085000000}"/>
    <cellStyle name="Check Cell 2" xfId="178" xr:uid="{00000000-0005-0000-0000-000086000000}"/>
    <cellStyle name="Check Cell 3" xfId="179" xr:uid="{00000000-0005-0000-0000-000087000000}"/>
    <cellStyle name="Check Cell 4" xfId="180" xr:uid="{00000000-0005-0000-0000-000088000000}"/>
    <cellStyle name="Check Cell 5" xfId="181" xr:uid="{00000000-0005-0000-0000-000089000000}"/>
    <cellStyle name="Check Cell 6" xfId="182" xr:uid="{00000000-0005-0000-0000-00008A000000}"/>
    <cellStyle name="Comma" xfId="2" builtinId="3"/>
    <cellStyle name="Comma 10" xfId="284" xr:uid="{00000000-0005-0000-0000-00008C000000}"/>
    <cellStyle name="Comma 11" xfId="295" xr:uid="{00000000-0005-0000-0000-00008D000000}"/>
    <cellStyle name="Comma 12" xfId="319" xr:uid="{00000000-0005-0000-0000-00008E000000}"/>
    <cellStyle name="Comma 2" xfId="7" xr:uid="{00000000-0005-0000-0000-00008F000000}"/>
    <cellStyle name="Comma 2 2" xfId="45" xr:uid="{00000000-0005-0000-0000-000090000000}"/>
    <cellStyle name="Comma 2 3" xfId="183" xr:uid="{00000000-0005-0000-0000-000091000000}"/>
    <cellStyle name="Comma 2 3 2" xfId="301" xr:uid="{00000000-0005-0000-0000-000092000000}"/>
    <cellStyle name="Comma 2 4" xfId="184" xr:uid="{00000000-0005-0000-0000-000093000000}"/>
    <cellStyle name="Comma 2 5" xfId="282" xr:uid="{00000000-0005-0000-0000-000094000000}"/>
    <cellStyle name="Comma 2 5 2" xfId="292" xr:uid="{00000000-0005-0000-0000-000095000000}"/>
    <cellStyle name="Comma 2 5 2 2" xfId="302" xr:uid="{00000000-0005-0000-0000-000096000000}"/>
    <cellStyle name="Comma 2 5 3" xfId="298" xr:uid="{00000000-0005-0000-0000-000097000000}"/>
    <cellStyle name="Comma 2 5 4" xfId="318" xr:uid="{00000000-0005-0000-0000-000098000000}"/>
    <cellStyle name="Comma 2 6" xfId="286" xr:uid="{00000000-0005-0000-0000-000099000000}"/>
    <cellStyle name="Comma 2 6 2" xfId="288" xr:uid="{00000000-0005-0000-0000-00009A000000}"/>
    <cellStyle name="Comma 2 6 2 2" xfId="300" xr:uid="{00000000-0005-0000-0000-00009B000000}"/>
    <cellStyle name="Comma 2 7" xfId="303" xr:uid="{00000000-0005-0000-0000-00009C000000}"/>
    <cellStyle name="Comma 3" xfId="8" xr:uid="{00000000-0005-0000-0000-00009D000000}"/>
    <cellStyle name="Comma 3 2" xfId="46" xr:uid="{00000000-0005-0000-0000-00009E000000}"/>
    <cellStyle name="Comma 3 3" xfId="304" xr:uid="{00000000-0005-0000-0000-00009F000000}"/>
    <cellStyle name="Comma 37" xfId="293" xr:uid="{00000000-0005-0000-0000-0000A0000000}"/>
    <cellStyle name="Comma 4" xfId="9" xr:uid="{00000000-0005-0000-0000-0000A1000000}"/>
    <cellStyle name="Comma 4 2" xfId="185" xr:uid="{00000000-0005-0000-0000-0000A2000000}"/>
    <cellStyle name="Comma 4 3" xfId="305" xr:uid="{00000000-0005-0000-0000-0000A3000000}"/>
    <cellStyle name="Comma 5" xfId="10" xr:uid="{00000000-0005-0000-0000-0000A4000000}"/>
    <cellStyle name="Comma 5 2" xfId="186" xr:uid="{00000000-0005-0000-0000-0000A5000000}"/>
    <cellStyle name="Comma 5 3" xfId="187" xr:uid="{00000000-0005-0000-0000-0000A6000000}"/>
    <cellStyle name="Comma 6" xfId="188" xr:uid="{00000000-0005-0000-0000-0000A7000000}"/>
    <cellStyle name="Comma 7" xfId="189" xr:uid="{00000000-0005-0000-0000-0000A8000000}"/>
    <cellStyle name="Comma 8" xfId="190" xr:uid="{00000000-0005-0000-0000-0000A9000000}"/>
    <cellStyle name="Comma 9" xfId="47" xr:uid="{00000000-0005-0000-0000-0000AA000000}"/>
    <cellStyle name="Comma0" xfId="191" xr:uid="{00000000-0005-0000-0000-0000AB000000}"/>
    <cellStyle name="Currency" xfId="3" builtinId="4"/>
    <cellStyle name="Currency 2" xfId="11" xr:uid="{00000000-0005-0000-0000-0000AD000000}"/>
    <cellStyle name="Currency 2 2" xfId="306" xr:uid="{00000000-0005-0000-0000-0000AE000000}"/>
    <cellStyle name="Currency 3" xfId="192" xr:uid="{00000000-0005-0000-0000-0000AF000000}"/>
    <cellStyle name="Currency 3 2" xfId="193" xr:uid="{00000000-0005-0000-0000-0000B0000000}"/>
    <cellStyle name="Currency 4" xfId="290" xr:uid="{00000000-0005-0000-0000-0000B1000000}"/>
    <cellStyle name="Currency 4 2" xfId="307" xr:uid="{00000000-0005-0000-0000-0000B2000000}"/>
    <cellStyle name="Currency 5" xfId="296" xr:uid="{00000000-0005-0000-0000-0000B3000000}"/>
    <cellStyle name="Explanatory Text 2" xfId="194" xr:uid="{00000000-0005-0000-0000-0000B4000000}"/>
    <cellStyle name="Explanatory Text 3" xfId="195" xr:uid="{00000000-0005-0000-0000-0000B5000000}"/>
    <cellStyle name="Explanatory Text 4" xfId="196" xr:uid="{00000000-0005-0000-0000-0000B6000000}"/>
    <cellStyle name="Explanatory Text 5" xfId="197" xr:uid="{00000000-0005-0000-0000-0000B7000000}"/>
    <cellStyle name="Explanatory Text 6" xfId="198" xr:uid="{00000000-0005-0000-0000-0000B8000000}"/>
    <cellStyle name="Good 2" xfId="199" xr:uid="{00000000-0005-0000-0000-0000B9000000}"/>
    <cellStyle name="Good 3" xfId="200" xr:uid="{00000000-0005-0000-0000-0000BA000000}"/>
    <cellStyle name="Good 4" xfId="201" xr:uid="{00000000-0005-0000-0000-0000BB000000}"/>
    <cellStyle name="Good 5" xfId="202" xr:uid="{00000000-0005-0000-0000-0000BC000000}"/>
    <cellStyle name="Good 6" xfId="203" xr:uid="{00000000-0005-0000-0000-0000BD000000}"/>
    <cellStyle name="Heading 1 2" xfId="204" xr:uid="{00000000-0005-0000-0000-0000BE000000}"/>
    <cellStyle name="Heading 1 3" xfId="205" xr:uid="{00000000-0005-0000-0000-0000BF000000}"/>
    <cellStyle name="Heading 1 4" xfId="206" xr:uid="{00000000-0005-0000-0000-0000C0000000}"/>
    <cellStyle name="Heading 1 5" xfId="207" xr:uid="{00000000-0005-0000-0000-0000C1000000}"/>
    <cellStyle name="Heading 1 6" xfId="208" xr:uid="{00000000-0005-0000-0000-0000C2000000}"/>
    <cellStyle name="Heading 2 2" xfId="209" xr:uid="{00000000-0005-0000-0000-0000C3000000}"/>
    <cellStyle name="Heading 2 3" xfId="210" xr:uid="{00000000-0005-0000-0000-0000C4000000}"/>
    <cellStyle name="Heading 2 4" xfId="211" xr:uid="{00000000-0005-0000-0000-0000C5000000}"/>
    <cellStyle name="Heading 2 5" xfId="212" xr:uid="{00000000-0005-0000-0000-0000C6000000}"/>
    <cellStyle name="Heading 2 6" xfId="213" xr:uid="{00000000-0005-0000-0000-0000C7000000}"/>
    <cellStyle name="Heading 3 2" xfId="214" xr:uid="{00000000-0005-0000-0000-0000C8000000}"/>
    <cellStyle name="Heading 3 3" xfId="215" xr:uid="{00000000-0005-0000-0000-0000C9000000}"/>
    <cellStyle name="Heading 3 4" xfId="216" xr:uid="{00000000-0005-0000-0000-0000CA000000}"/>
    <cellStyle name="Heading 3 5" xfId="217" xr:uid="{00000000-0005-0000-0000-0000CB000000}"/>
    <cellStyle name="Heading 3 6" xfId="218" xr:uid="{00000000-0005-0000-0000-0000CC000000}"/>
    <cellStyle name="Heading 4 2" xfId="219" xr:uid="{00000000-0005-0000-0000-0000CD000000}"/>
    <cellStyle name="Heading 4 3" xfId="220" xr:uid="{00000000-0005-0000-0000-0000CE000000}"/>
    <cellStyle name="Heading 4 4" xfId="221" xr:uid="{00000000-0005-0000-0000-0000CF000000}"/>
    <cellStyle name="Heading 4 5" xfId="222" xr:uid="{00000000-0005-0000-0000-0000D0000000}"/>
    <cellStyle name="Heading 4 6" xfId="223" xr:uid="{00000000-0005-0000-0000-0000D1000000}"/>
    <cellStyle name="Input 2" xfId="224" xr:uid="{00000000-0005-0000-0000-0000D2000000}"/>
    <cellStyle name="Input 3" xfId="225" xr:uid="{00000000-0005-0000-0000-0000D3000000}"/>
    <cellStyle name="Input 4" xfId="226" xr:uid="{00000000-0005-0000-0000-0000D4000000}"/>
    <cellStyle name="Input 5" xfId="227" xr:uid="{00000000-0005-0000-0000-0000D5000000}"/>
    <cellStyle name="Input 6" xfId="228" xr:uid="{00000000-0005-0000-0000-0000D6000000}"/>
    <cellStyle name="Linked Cell 2" xfId="229" xr:uid="{00000000-0005-0000-0000-0000D7000000}"/>
    <cellStyle name="Linked Cell 3" xfId="230" xr:uid="{00000000-0005-0000-0000-0000D8000000}"/>
    <cellStyle name="Linked Cell 4" xfId="231" xr:uid="{00000000-0005-0000-0000-0000D9000000}"/>
    <cellStyle name="Linked Cell 5" xfId="232" xr:uid="{00000000-0005-0000-0000-0000DA000000}"/>
    <cellStyle name="Linked Cell 6" xfId="233" xr:uid="{00000000-0005-0000-0000-0000DB000000}"/>
    <cellStyle name="Neutral 2" xfId="234" xr:uid="{00000000-0005-0000-0000-0000DC000000}"/>
    <cellStyle name="Neutral 3" xfId="235" xr:uid="{00000000-0005-0000-0000-0000DD000000}"/>
    <cellStyle name="Neutral 4" xfId="236" xr:uid="{00000000-0005-0000-0000-0000DE000000}"/>
    <cellStyle name="Neutral 5" xfId="237" xr:uid="{00000000-0005-0000-0000-0000DF000000}"/>
    <cellStyle name="Neutral 6" xfId="238" xr:uid="{00000000-0005-0000-0000-0000E0000000}"/>
    <cellStyle name="Normal" xfId="0" builtinId="0"/>
    <cellStyle name="Normal 10" xfId="12" xr:uid="{00000000-0005-0000-0000-0000E2000000}"/>
    <cellStyle name="Normal 10 2" xfId="308" xr:uid="{00000000-0005-0000-0000-0000E3000000}"/>
    <cellStyle name="Normal 11" xfId="13" xr:uid="{00000000-0005-0000-0000-0000E4000000}"/>
    <cellStyle name="Normal 11 2" xfId="309" xr:uid="{00000000-0005-0000-0000-0000E5000000}"/>
    <cellStyle name="Normal 12" xfId="14" xr:uid="{00000000-0005-0000-0000-0000E6000000}"/>
    <cellStyle name="Normal 12 2" xfId="310" xr:uid="{00000000-0005-0000-0000-0000E7000000}"/>
    <cellStyle name="Normal 13" xfId="15" xr:uid="{00000000-0005-0000-0000-0000E8000000}"/>
    <cellStyle name="Normal 14" xfId="16" xr:uid="{00000000-0005-0000-0000-0000E9000000}"/>
    <cellStyle name="Normal 15" xfId="17" xr:uid="{00000000-0005-0000-0000-0000EA000000}"/>
    <cellStyle name="Normal 16" xfId="18" xr:uid="{00000000-0005-0000-0000-0000EB000000}"/>
    <cellStyle name="Normal 17" xfId="19" xr:uid="{00000000-0005-0000-0000-0000EC000000}"/>
    <cellStyle name="Normal 18" xfId="20" xr:uid="{00000000-0005-0000-0000-0000ED000000}"/>
    <cellStyle name="Normal 19" xfId="21" xr:uid="{00000000-0005-0000-0000-0000EE000000}"/>
    <cellStyle name="Normal 2" xfId="6" xr:uid="{00000000-0005-0000-0000-0000EF000000}"/>
    <cellStyle name="Normal 2 2" xfId="22" xr:uid="{00000000-0005-0000-0000-0000F0000000}"/>
    <cellStyle name="Normal 2 2 2" xfId="311" xr:uid="{00000000-0005-0000-0000-0000F1000000}"/>
    <cellStyle name="Normal 2 3" xfId="239" xr:uid="{00000000-0005-0000-0000-0000F2000000}"/>
    <cellStyle name="Normal 2 4" xfId="240" xr:uid="{00000000-0005-0000-0000-0000F3000000}"/>
    <cellStyle name="Normal 2 4 2" xfId="320" xr:uid="{00000000-0005-0000-0000-0000F4000000}"/>
    <cellStyle name="Normal 2 5" xfId="281" xr:uid="{00000000-0005-0000-0000-0000F5000000}"/>
    <cellStyle name="Normal 2 5 2" xfId="291" xr:uid="{00000000-0005-0000-0000-0000F6000000}"/>
    <cellStyle name="Normal 2 5 3" xfId="297" xr:uid="{00000000-0005-0000-0000-0000F7000000}"/>
    <cellStyle name="Normal 2 6" xfId="285" xr:uid="{00000000-0005-0000-0000-0000F8000000}"/>
    <cellStyle name="Normal 2 6 2" xfId="287" xr:uid="{00000000-0005-0000-0000-0000F9000000}"/>
    <cellStyle name="Normal 2 6 2 2" xfId="299" xr:uid="{00000000-0005-0000-0000-0000FA000000}"/>
    <cellStyle name="Normal 2 7" xfId="312" xr:uid="{00000000-0005-0000-0000-0000FB000000}"/>
    <cellStyle name="Normal 2 8" xfId="328" xr:uid="{00000000-0005-0000-0000-0000FC000000}"/>
    <cellStyle name="Normal 20" xfId="23" xr:uid="{00000000-0005-0000-0000-0000FD000000}"/>
    <cellStyle name="Normal 21" xfId="24" xr:uid="{00000000-0005-0000-0000-0000FE000000}"/>
    <cellStyle name="Normal 22" xfId="25" xr:uid="{00000000-0005-0000-0000-0000FF000000}"/>
    <cellStyle name="Normal 23" xfId="26" xr:uid="{00000000-0005-0000-0000-000000010000}"/>
    <cellStyle name="Normal 24" xfId="27" xr:uid="{00000000-0005-0000-0000-000001010000}"/>
    <cellStyle name="Normal 25" xfId="28" xr:uid="{00000000-0005-0000-0000-000002010000}"/>
    <cellStyle name="Normal 26" xfId="29" xr:uid="{00000000-0005-0000-0000-000003010000}"/>
    <cellStyle name="Normal 27" xfId="30" xr:uid="{00000000-0005-0000-0000-000004010000}"/>
    <cellStyle name="Normal 28" xfId="31" xr:uid="{00000000-0005-0000-0000-000005010000}"/>
    <cellStyle name="Normal 29" xfId="32" xr:uid="{00000000-0005-0000-0000-000006010000}"/>
    <cellStyle name="Normal 3" xfId="5" xr:uid="{00000000-0005-0000-0000-000007010000}"/>
    <cellStyle name="Normal 3 2" xfId="241" xr:uid="{00000000-0005-0000-0000-000008010000}"/>
    <cellStyle name="Normal 3 3" xfId="242" xr:uid="{00000000-0005-0000-0000-000009010000}"/>
    <cellStyle name="Normal 3 4" xfId="243" xr:uid="{00000000-0005-0000-0000-00000A010000}"/>
    <cellStyle name="Normal 3 5" xfId="313" xr:uid="{00000000-0005-0000-0000-00000B010000}"/>
    <cellStyle name="Normal 30" xfId="33" xr:uid="{00000000-0005-0000-0000-00000C010000}"/>
    <cellStyle name="Normal 31" xfId="34" xr:uid="{00000000-0005-0000-0000-00000D010000}"/>
    <cellStyle name="Normal 32" xfId="35" xr:uid="{00000000-0005-0000-0000-00000E010000}"/>
    <cellStyle name="Normal 33" xfId="36" xr:uid="{00000000-0005-0000-0000-00000F010000}"/>
    <cellStyle name="Normal 34" xfId="37" xr:uid="{00000000-0005-0000-0000-000010010000}"/>
    <cellStyle name="Normal 35" xfId="294" xr:uid="{00000000-0005-0000-0000-000011010000}"/>
    <cellStyle name="Normal 36" xfId="321" xr:uid="{00000000-0005-0000-0000-000012010000}"/>
    <cellStyle name="Normal 37" xfId="322" xr:uid="{00000000-0005-0000-0000-000013010000}"/>
    <cellStyle name="Normal 38" xfId="323" xr:uid="{00000000-0005-0000-0000-000014010000}"/>
    <cellStyle name="Normal 39" xfId="324" xr:uid="{00000000-0005-0000-0000-000015010000}"/>
    <cellStyle name="Normal 4" xfId="4" xr:uid="{00000000-0005-0000-0000-000016010000}"/>
    <cellStyle name="Normal 4 2" xfId="244" xr:uid="{00000000-0005-0000-0000-000017010000}"/>
    <cellStyle name="Normal 4_STCIMF TCTF Handout v3" xfId="245" xr:uid="{00000000-0005-0000-0000-000018010000}"/>
    <cellStyle name="Normal 5" xfId="38" xr:uid="{00000000-0005-0000-0000-000019010000}"/>
    <cellStyle name="Normal 6" xfId="39" xr:uid="{00000000-0005-0000-0000-00001A010000}"/>
    <cellStyle name="Normal 7" xfId="40" xr:uid="{00000000-0005-0000-0000-00001B010000}"/>
    <cellStyle name="Normal 7 2" xfId="246" xr:uid="{00000000-0005-0000-0000-00001C010000}"/>
    <cellStyle name="Normal 8" xfId="41" xr:uid="{00000000-0005-0000-0000-00001D010000}"/>
    <cellStyle name="Normal 8 2" xfId="247" xr:uid="{00000000-0005-0000-0000-00001E010000}"/>
    <cellStyle name="Normal 9" xfId="42" xr:uid="{00000000-0005-0000-0000-00001F010000}"/>
    <cellStyle name="Note 2" xfId="248" xr:uid="{00000000-0005-0000-0000-000020010000}"/>
    <cellStyle name="Note 3" xfId="249" xr:uid="{00000000-0005-0000-0000-000021010000}"/>
    <cellStyle name="Note 4" xfId="250" xr:uid="{00000000-0005-0000-0000-000022010000}"/>
    <cellStyle name="Note 5" xfId="251" xr:uid="{00000000-0005-0000-0000-000023010000}"/>
    <cellStyle name="Note 6" xfId="252" xr:uid="{00000000-0005-0000-0000-000024010000}"/>
    <cellStyle name="Output 2" xfId="253" xr:uid="{00000000-0005-0000-0000-000025010000}"/>
    <cellStyle name="Output 3" xfId="254" xr:uid="{00000000-0005-0000-0000-000026010000}"/>
    <cellStyle name="Output 4" xfId="255" xr:uid="{00000000-0005-0000-0000-000027010000}"/>
    <cellStyle name="Output 5" xfId="256" xr:uid="{00000000-0005-0000-0000-000028010000}"/>
    <cellStyle name="Output 6" xfId="257" xr:uid="{00000000-0005-0000-0000-000029010000}"/>
    <cellStyle name="Output Amounts" xfId="258" xr:uid="{00000000-0005-0000-0000-00002A010000}"/>
    <cellStyle name="Output Column Headings" xfId="259" xr:uid="{00000000-0005-0000-0000-00002B010000}"/>
    <cellStyle name="Output Line Items" xfId="260" xr:uid="{00000000-0005-0000-0000-00002C010000}"/>
    <cellStyle name="Output Report Heading" xfId="261" xr:uid="{00000000-0005-0000-0000-00002D010000}"/>
    <cellStyle name="Output Report Title" xfId="262" xr:uid="{00000000-0005-0000-0000-00002E010000}"/>
    <cellStyle name="Percent" xfId="1" builtinId="5"/>
    <cellStyle name="Percent 2" xfId="43" xr:uid="{00000000-0005-0000-0000-000030010000}"/>
    <cellStyle name="Percent 2 2" xfId="263" xr:uid="{00000000-0005-0000-0000-000031010000}"/>
    <cellStyle name="Percent 2 3" xfId="264" xr:uid="{00000000-0005-0000-0000-000032010000}"/>
    <cellStyle name="Percent 2 4" xfId="289" xr:uid="{00000000-0005-0000-0000-000033010000}"/>
    <cellStyle name="Percent 3" xfId="44" xr:uid="{00000000-0005-0000-0000-000034010000}"/>
    <cellStyle name="Percent 3 2" xfId="314" xr:uid="{00000000-0005-0000-0000-000035010000}"/>
    <cellStyle name="Percent 4" xfId="265" xr:uid="{00000000-0005-0000-0000-000036010000}"/>
    <cellStyle name="Percent 4 2" xfId="315" xr:uid="{00000000-0005-0000-0000-000037010000}"/>
    <cellStyle name="Percent 5" xfId="316" xr:uid="{00000000-0005-0000-0000-000038010000}"/>
    <cellStyle name="Percent 6" xfId="317" xr:uid="{00000000-0005-0000-0000-000039010000}"/>
    <cellStyle name="Percent 7" xfId="325" xr:uid="{00000000-0005-0000-0000-00003A010000}"/>
    <cellStyle name="Title 2" xfId="266" xr:uid="{00000000-0005-0000-0000-00003B010000}"/>
    <cellStyle name="Title 3" xfId="267" xr:uid="{00000000-0005-0000-0000-00003C010000}"/>
    <cellStyle name="Title 4" xfId="268" xr:uid="{00000000-0005-0000-0000-00003D010000}"/>
    <cellStyle name="Title 5" xfId="269" xr:uid="{00000000-0005-0000-0000-00003E010000}"/>
    <cellStyle name="Title 6" xfId="270" xr:uid="{00000000-0005-0000-0000-00003F010000}"/>
    <cellStyle name="Total 2" xfId="271" xr:uid="{00000000-0005-0000-0000-000040010000}"/>
    <cellStyle name="Total 3" xfId="272" xr:uid="{00000000-0005-0000-0000-000041010000}"/>
    <cellStyle name="Total 4" xfId="273" xr:uid="{00000000-0005-0000-0000-000042010000}"/>
    <cellStyle name="Total 5" xfId="274" xr:uid="{00000000-0005-0000-0000-000043010000}"/>
    <cellStyle name="Total 6" xfId="275" xr:uid="{00000000-0005-0000-0000-000044010000}"/>
    <cellStyle name="Warning Text 2" xfId="276" xr:uid="{00000000-0005-0000-0000-000045010000}"/>
    <cellStyle name="Warning Text 3" xfId="277" xr:uid="{00000000-0005-0000-0000-000046010000}"/>
    <cellStyle name="Warning Text 4" xfId="278" xr:uid="{00000000-0005-0000-0000-000047010000}"/>
    <cellStyle name="Warning Text 5" xfId="279" xr:uid="{00000000-0005-0000-0000-000048010000}"/>
    <cellStyle name="Warning Text 6" xfId="280" xr:uid="{00000000-0005-0000-0000-000049010000}"/>
  </cellStyles>
  <dxfs count="4">
    <dxf>
      <font>
        <condense val="0"/>
        <extend val="0"/>
        <color rgb="FF9C0006"/>
      </font>
      <fill>
        <patternFill>
          <bgColor rgb="FFFFC7CE"/>
        </patternFill>
      </fill>
    </dxf>
    <dxf>
      <fill>
        <patternFill>
          <bgColor theme="9" tint="0.59996337778862885"/>
        </patternFill>
      </fill>
    </dxf>
    <dxf>
      <fill>
        <patternFill>
          <bgColor theme="8" tint="0.59996337778862885"/>
        </patternFill>
      </fill>
    </dxf>
    <dxf>
      <font>
        <condense val="0"/>
        <extend val="0"/>
        <color rgb="FF9C0006"/>
      </font>
      <fill>
        <patternFill>
          <bgColor rgb="FFFFC7CE"/>
        </patternFill>
      </fill>
    </dxf>
  </dxfs>
  <tableStyles count="0" defaultTableStyle="TableStyleMedium9" defaultPivotStyle="PivotStyleLight16"/>
  <colors>
    <mruColors>
      <color rgb="FF6EBBD0"/>
      <color rgb="FF5AB2CA"/>
      <color rgb="FF3593A9"/>
      <color rgb="FF2F7E91"/>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S\Hysoft\Finance\Bud0203\Hyperion%20reports\QFR%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Simpson\Application%20Data\Microsoft\Excel\1%25%20cap%20reduction\1%25%20calcul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Users\Peralta\TC-145\TC-145-2009-01-Final-unprotected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cc\aocdata\EOP\OCR\Research%20&amp;%20Analysis\Workload\Staff\RAS%20Model%20Updates\Reassess%20model%20parameters\Finance%20dollar%20conversion\RAS%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c\aocdata\Finance\BUDGET\Users\Simpson\Revenue\FY%202013-14%20TCTF%20Projections\2013TCTF%20Revenue%20Projection_06DecColl%20201402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c\aocdata\Finance\BUDGET\BDTSU\Annual%20Report%20to%20Legislature\FY%202008-09\Allocation%20Report\KP-AllocationsReimb-MOD-FY2008-No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cc\aocdata\Finance\BUDGET\Users\Simpson\Funding%20Models\5%20year%20Special%20Funds%20funding%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inance\BUDGET\BDTSU\Revenue\10Rs\TCTF\FY%2009-10\TCTF%20May%20Revise%20Final_04230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jleibowitz\Local%20Settings\Temporary%20Internet%20Files\OLK178\TC-145%20effective%20Jan%201%2009_JLP%20010709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QFR Quarter by Quarter"/>
      <sheetName val="QFR Year by Year"/>
      <sheetName val="QFR Report Year to Year"/>
      <sheetName val="QFR by court and accounts"/>
      <sheetName val="State vs. Total Revenue"/>
      <sheetName val="QFR by Account, court, quarters"/>
      <sheetName val="Judges S&amp;B"/>
      <sheetName val="QFR Interpreters by court"/>
      <sheetName val="QFR Indirect Costs by court "/>
      <sheetName val="QFR Total Exp by court"/>
      <sheetName val="Security"/>
      <sheetName val="Salaries &amp; Benefits"/>
      <sheetName val="Benefit by court "/>
      <sheetName val="Salaries by court"/>
      <sheetName val="Salaries &amp; Benefit by court"/>
      <sheetName val="1H WAFM Funding Nee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 1% Calculation"/>
      <sheetName val="B1- Restricted Rev Detail"/>
      <sheetName val="B2 - Restricted Rev Description"/>
      <sheetName val="1% Calc Sample other"/>
      <sheetName val="Combo Box"/>
    </sheetNames>
    <sheetDataSet>
      <sheetData sheetId="0" refreshError="1"/>
      <sheetData sheetId="1">
        <row r="33">
          <cell r="D33">
            <v>0</v>
          </cell>
        </row>
      </sheetData>
      <sheetData sheetId="2" refreshError="1"/>
      <sheetData sheetId="3" refreshError="1"/>
      <sheetData sheetId="4">
        <row r="2">
          <cell r="A2" t="str">
            <v>General Fund -- TCTF</v>
          </cell>
          <cell r="B2" t="str">
            <v>Please select your court from the list</v>
          </cell>
          <cell r="C2" t="str">
            <v>Please select the fiscal year from the list</v>
          </cell>
          <cell r="D2" t="str">
            <v>B&amp;P 470.5</v>
          </cell>
        </row>
        <row r="3">
          <cell r="A3" t="str">
            <v>General Fund -- Non-TCTF</v>
          </cell>
          <cell r="B3" t="str">
            <v>Superior Court - Alameda</v>
          </cell>
          <cell r="C3" t="str">
            <v>as of June 30, 2014</v>
          </cell>
          <cell r="D3" t="str">
            <v>CCP 116.230</v>
          </cell>
        </row>
        <row r="4">
          <cell r="A4" t="str">
            <v>Special Revenue Non-Grant</v>
          </cell>
          <cell r="B4" t="str">
            <v>Superior Court - Alpine</v>
          </cell>
          <cell r="C4" t="str">
            <v>as of June 30, 2015</v>
          </cell>
          <cell r="D4" t="str">
            <v>GC 13963(f)</v>
          </cell>
        </row>
        <row r="5">
          <cell r="A5" t="str">
            <v>Capital Project</v>
          </cell>
          <cell r="B5" t="str">
            <v>Superior Court - Amador</v>
          </cell>
          <cell r="C5" t="str">
            <v>as of June 30, 2016</v>
          </cell>
          <cell r="D5" t="str">
            <v>GC 26731</v>
          </cell>
        </row>
        <row r="6">
          <cell r="B6" t="str">
            <v>Superior Court - Butte</v>
          </cell>
          <cell r="C6" t="str">
            <v>as of June 30, 2017</v>
          </cell>
          <cell r="D6" t="str">
            <v>GC 26863</v>
          </cell>
        </row>
        <row r="7">
          <cell r="B7" t="str">
            <v>Superior Court - Calaveras</v>
          </cell>
          <cell r="C7" t="str">
            <v>as of June 30, 2018</v>
          </cell>
          <cell r="D7" t="str">
            <v>GC 27361.4</v>
          </cell>
        </row>
        <row r="8">
          <cell r="B8" t="str">
            <v>Superior Court - Colusa</v>
          </cell>
          <cell r="C8" t="str">
            <v>as of June 30, 2019</v>
          </cell>
          <cell r="D8" t="str">
            <v>GC 66006</v>
          </cell>
        </row>
        <row r="9">
          <cell r="B9" t="str">
            <v>Superior Court - Contra Costa</v>
          </cell>
          <cell r="C9" t="str">
            <v>as of June 30, 2020</v>
          </cell>
          <cell r="D9" t="str">
            <v>GC 68090.8</v>
          </cell>
        </row>
        <row r="10">
          <cell r="B10" t="str">
            <v>Superior Court - Del Norte</v>
          </cell>
          <cell r="D10" t="str">
            <v>GC 70640</v>
          </cell>
        </row>
        <row r="11">
          <cell r="B11" t="str">
            <v>Superior Court - El Dorado</v>
          </cell>
          <cell r="D11" t="str">
            <v>GC 70678</v>
          </cell>
        </row>
        <row r="12">
          <cell r="B12" t="str">
            <v>Superior Court - Fresno</v>
          </cell>
          <cell r="D12" t="str">
            <v>GC 76223</v>
          </cell>
        </row>
        <row r="13">
          <cell r="B13" t="str">
            <v>Superior Court - Glenn</v>
          </cell>
          <cell r="D13" t="str">
            <v>GC 77207.5(b)</v>
          </cell>
        </row>
        <row r="14">
          <cell r="B14" t="str">
            <v>Superior Court - Humboldt</v>
          </cell>
          <cell r="D14" t="str">
            <v>GC 77209(h)</v>
          </cell>
        </row>
        <row r="15">
          <cell r="B15" t="str">
            <v>Superior Court - Imperial</v>
          </cell>
          <cell r="D15" t="str">
            <v>Penal Code 1027</v>
          </cell>
        </row>
        <row r="16">
          <cell r="B16" t="str">
            <v>Superior Court - Inyo</v>
          </cell>
          <cell r="D16" t="str">
            <v>Penal Code 1463.007</v>
          </cell>
        </row>
        <row r="17">
          <cell r="B17" t="str">
            <v>Superior Court - Kern</v>
          </cell>
          <cell r="D17" t="str">
            <v>Penal Code 1463.22(a)</v>
          </cell>
        </row>
        <row r="18">
          <cell r="B18" t="str">
            <v>Superior Court - Kings</v>
          </cell>
          <cell r="D18" t="str">
            <v>Penal Code 4750</v>
          </cell>
        </row>
        <row r="19">
          <cell r="B19" t="str">
            <v>Superior Court - Lake</v>
          </cell>
          <cell r="D19" t="str">
            <v>Penal Code 6005</v>
          </cell>
        </row>
        <row r="20">
          <cell r="B20" t="str">
            <v>Superior Court - Lassen</v>
          </cell>
          <cell r="D20" t="str">
            <v>VC 11205.2</v>
          </cell>
        </row>
        <row r="21">
          <cell r="B21" t="str">
            <v>Superior Court - Los Angeles</v>
          </cell>
          <cell r="D21" t="str">
            <v>VC 40508.6</v>
          </cell>
        </row>
        <row r="22">
          <cell r="B22" t="str">
            <v>Superior Court - Madera</v>
          </cell>
        </row>
        <row r="23">
          <cell r="B23" t="str">
            <v>Superior Court - Marin</v>
          </cell>
        </row>
        <row r="24">
          <cell r="B24" t="str">
            <v>Superior Court - Mariposa</v>
          </cell>
        </row>
        <row r="25">
          <cell r="B25" t="str">
            <v>Superior Court - Mendocino</v>
          </cell>
        </row>
        <row r="26">
          <cell r="B26" t="str">
            <v>Superior Court - Merced</v>
          </cell>
        </row>
        <row r="27">
          <cell r="B27" t="str">
            <v>Superior Court - Modoc</v>
          </cell>
        </row>
        <row r="28">
          <cell r="B28" t="str">
            <v>Superior Court - Mono</v>
          </cell>
        </row>
        <row r="29">
          <cell r="B29" t="str">
            <v>Superior Court - Monterey</v>
          </cell>
        </row>
        <row r="30">
          <cell r="B30" t="str">
            <v>Superior Court - Napa</v>
          </cell>
        </row>
        <row r="31">
          <cell r="B31" t="str">
            <v>Superior Court - Nevada</v>
          </cell>
        </row>
        <row r="32">
          <cell r="B32" t="str">
            <v>Superior Court - Orange</v>
          </cell>
        </row>
        <row r="33">
          <cell r="B33" t="str">
            <v>Superior Court - Placer</v>
          </cell>
        </row>
        <row r="34">
          <cell r="B34" t="str">
            <v>Superior Court - Plumas</v>
          </cell>
        </row>
        <row r="35">
          <cell r="B35" t="str">
            <v>Superior Court - Riverside</v>
          </cell>
        </row>
        <row r="36">
          <cell r="B36" t="str">
            <v>Superior Court - Sacramento</v>
          </cell>
        </row>
        <row r="37">
          <cell r="B37" t="str">
            <v>Superior Court - San Benito</v>
          </cell>
        </row>
        <row r="38">
          <cell r="B38" t="str">
            <v>Superior Court - San Bernardino</v>
          </cell>
        </row>
        <row r="39">
          <cell r="B39" t="str">
            <v>Superior Court - San Diego</v>
          </cell>
        </row>
        <row r="40">
          <cell r="B40" t="str">
            <v>Superior Court - San Francisco</v>
          </cell>
        </row>
        <row r="41">
          <cell r="B41" t="str">
            <v>Superior Court - San Joaquin</v>
          </cell>
        </row>
        <row r="42">
          <cell r="B42" t="str">
            <v>Superior Court - San Luis Obispo</v>
          </cell>
        </row>
        <row r="43">
          <cell r="B43" t="str">
            <v>Superior Court - San Mateo</v>
          </cell>
        </row>
        <row r="44">
          <cell r="B44" t="str">
            <v>Superior Court - Santa Barbara</v>
          </cell>
        </row>
        <row r="45">
          <cell r="B45" t="str">
            <v>Superior Court - Santa Clara</v>
          </cell>
        </row>
        <row r="46">
          <cell r="B46" t="str">
            <v>Superior Court - Santa Cruz</v>
          </cell>
        </row>
        <row r="47">
          <cell r="B47" t="str">
            <v>Superior Court - Shasta</v>
          </cell>
        </row>
        <row r="48">
          <cell r="B48" t="str">
            <v>Superior Court - Sierra</v>
          </cell>
        </row>
        <row r="49">
          <cell r="B49" t="str">
            <v>Superior Court - Siskiyou</v>
          </cell>
        </row>
        <row r="50">
          <cell r="B50" t="str">
            <v>Superior Court - Solano</v>
          </cell>
        </row>
        <row r="51">
          <cell r="B51" t="str">
            <v>Superior Court - Sonoma</v>
          </cell>
        </row>
        <row r="52">
          <cell r="B52" t="str">
            <v>Superior Court - Stanislaus</v>
          </cell>
        </row>
        <row r="53">
          <cell r="B53" t="str">
            <v>Superior Court - Sutter</v>
          </cell>
        </row>
        <row r="54">
          <cell r="B54" t="str">
            <v>Superior Court - Tehama</v>
          </cell>
        </row>
        <row r="55">
          <cell r="B55" t="str">
            <v>Superior Court - Trinity</v>
          </cell>
        </row>
        <row r="56">
          <cell r="B56" t="str">
            <v>Superior Court - Tulare</v>
          </cell>
        </row>
        <row r="57">
          <cell r="B57" t="str">
            <v>Superior Court - Tuolumne</v>
          </cell>
        </row>
        <row r="58">
          <cell r="B58" t="str">
            <v>Superior Court - Ventura</v>
          </cell>
        </row>
        <row r="59">
          <cell r="B59" t="str">
            <v>Superior Court - Yolo</v>
          </cell>
        </row>
        <row r="60">
          <cell r="B60" t="str">
            <v>Superior Court - Yuba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port Template Example"/>
      <sheetName val="Report Template Instructions"/>
      <sheetName val="Report Template"/>
      <sheetName val="Schedule D Instructions"/>
      <sheetName val="Schedule D"/>
      <sheetName val="Schedule F Instructions"/>
      <sheetName val="Schedule F"/>
      <sheetName val="Certification"/>
      <sheetName val="Code"/>
    </sheetNames>
    <sheetDataSet>
      <sheetData sheetId="0"/>
      <sheetData sheetId="1"/>
      <sheetData sheetId="2"/>
      <sheetData sheetId="3">
        <row r="7">
          <cell r="A7">
            <v>1</v>
          </cell>
        </row>
      </sheetData>
      <sheetData sheetId="4"/>
      <sheetData sheetId="5"/>
      <sheetData sheetId="6"/>
      <sheetData sheetId="7"/>
      <sheetData sheetId="8"/>
      <sheetData sheetId="9">
        <row r="1">
          <cell r="B1" t="str">
            <v>PICK YOUR COURT FROM THIS LIST</v>
          </cell>
        </row>
        <row r="2">
          <cell r="B2" t="str">
            <v>Superior Court - Alameda</v>
          </cell>
        </row>
        <row r="3">
          <cell r="B3" t="str">
            <v>Superior Court - Alpine</v>
          </cell>
        </row>
        <row r="4">
          <cell r="B4" t="str">
            <v>Superior Court - Amador</v>
          </cell>
        </row>
        <row r="5">
          <cell r="B5" t="str">
            <v>Superior Court - Butte</v>
          </cell>
        </row>
        <row r="6">
          <cell r="B6" t="str">
            <v>Superior Court - Calaveras</v>
          </cell>
        </row>
        <row r="7">
          <cell r="B7" t="str">
            <v>Superior Court - Colusa</v>
          </cell>
        </row>
        <row r="8">
          <cell r="B8" t="str">
            <v>Superior Court - Contra Costa</v>
          </cell>
        </row>
        <row r="9">
          <cell r="B9" t="str">
            <v>Superior Court - Del Norte</v>
          </cell>
        </row>
        <row r="10">
          <cell r="B10" t="str">
            <v>Superior Court - El Dorado</v>
          </cell>
        </row>
        <row r="11">
          <cell r="B11" t="str">
            <v>Superior Court - Fresno</v>
          </cell>
        </row>
        <row r="12">
          <cell r="B12" t="str">
            <v>Superior Court - Glenn</v>
          </cell>
        </row>
        <row r="13">
          <cell r="B13" t="str">
            <v>Superior Court - Humboldt</v>
          </cell>
        </row>
        <row r="14">
          <cell r="B14" t="str">
            <v>Superior Court - Imperial</v>
          </cell>
        </row>
        <row r="15">
          <cell r="B15" t="str">
            <v>Superior Court - Inyo</v>
          </cell>
        </row>
        <row r="16">
          <cell r="B16" t="str">
            <v>Superior Court - Kern</v>
          </cell>
        </row>
        <row r="17">
          <cell r="B17" t="str">
            <v>Superior Court - Kings</v>
          </cell>
        </row>
        <row r="18">
          <cell r="B18" t="str">
            <v>Superior Court - Lake</v>
          </cell>
        </row>
        <row r="19">
          <cell r="B19" t="str">
            <v>Superior Court - Lassen</v>
          </cell>
        </row>
        <row r="20">
          <cell r="B20" t="str">
            <v>Superior Court - Los Angeles</v>
          </cell>
        </row>
        <row r="21">
          <cell r="B21" t="str">
            <v>Superior Court - Madera</v>
          </cell>
        </row>
        <row r="22">
          <cell r="B22" t="str">
            <v>Superior Court - Marin</v>
          </cell>
        </row>
        <row r="23">
          <cell r="B23" t="str">
            <v>Superior Court - Mariposa</v>
          </cell>
        </row>
        <row r="24">
          <cell r="B24" t="str">
            <v>Superior Court - Mendocino</v>
          </cell>
        </row>
        <row r="25">
          <cell r="B25" t="str">
            <v>Superior Court - Merced</v>
          </cell>
        </row>
        <row r="26">
          <cell r="B26" t="str">
            <v>Superior Court - Modoc</v>
          </cell>
        </row>
        <row r="27">
          <cell r="B27" t="str">
            <v>Superior Court - Mono</v>
          </cell>
        </row>
        <row r="28">
          <cell r="B28" t="str">
            <v>Superior Court - Monterey</v>
          </cell>
        </row>
        <row r="29">
          <cell r="B29" t="str">
            <v>Superior Court - Napa</v>
          </cell>
        </row>
        <row r="30">
          <cell r="B30" t="str">
            <v>Superior Court - Nevada</v>
          </cell>
        </row>
        <row r="31">
          <cell r="B31" t="str">
            <v>Superior Court - Orange</v>
          </cell>
        </row>
        <row r="32">
          <cell r="B32" t="str">
            <v>Superior Court - Placer</v>
          </cell>
        </row>
        <row r="33">
          <cell r="B33" t="str">
            <v>Superior Court - Plumas</v>
          </cell>
        </row>
        <row r="34">
          <cell r="B34" t="str">
            <v>Superior Court - Riverside</v>
          </cell>
        </row>
        <row r="35">
          <cell r="B35" t="str">
            <v>Superior Court - Sacramento</v>
          </cell>
        </row>
        <row r="36">
          <cell r="B36" t="str">
            <v>Superior Court - San Benito</v>
          </cell>
        </row>
        <row r="37">
          <cell r="B37" t="str">
            <v>Superior Court - San Bernardino</v>
          </cell>
        </row>
        <row r="38">
          <cell r="B38" t="str">
            <v>Superior Court - San Diego</v>
          </cell>
        </row>
        <row r="39">
          <cell r="B39" t="str">
            <v>Superior Court - San Francisco</v>
          </cell>
        </row>
        <row r="40">
          <cell r="B40" t="str">
            <v>Superior Court - San Joaquin</v>
          </cell>
        </row>
        <row r="41">
          <cell r="B41" t="str">
            <v>Superior Court - San Luis Obispo</v>
          </cell>
        </row>
        <row r="42">
          <cell r="B42" t="str">
            <v>Superior Court - San Mateo</v>
          </cell>
        </row>
        <row r="43">
          <cell r="B43" t="str">
            <v>Superior Court - Santa Barbara</v>
          </cell>
        </row>
        <row r="44">
          <cell r="B44" t="str">
            <v>Superior Court - Santa Clara</v>
          </cell>
        </row>
        <row r="45">
          <cell r="B45" t="str">
            <v>Superior Court - Santa Cruz</v>
          </cell>
        </row>
        <row r="46">
          <cell r="B46" t="str">
            <v>Superior Court - Shasta</v>
          </cell>
        </row>
        <row r="47">
          <cell r="B47" t="str">
            <v>Superior Court - Sierra</v>
          </cell>
        </row>
        <row r="48">
          <cell r="B48" t="str">
            <v>Superior Court - Siskiyou</v>
          </cell>
        </row>
        <row r="49">
          <cell r="B49" t="str">
            <v>Superior Court - Solano</v>
          </cell>
        </row>
        <row r="50">
          <cell r="B50" t="str">
            <v>Superior Court - Sonoma</v>
          </cell>
        </row>
        <row r="51">
          <cell r="B51" t="str">
            <v>Superior Court - Stanislaus</v>
          </cell>
        </row>
        <row r="52">
          <cell r="B52" t="str">
            <v>Superior Court - Sutter</v>
          </cell>
        </row>
        <row r="53">
          <cell r="B53" t="str">
            <v>Superior Court - Tehama</v>
          </cell>
        </row>
        <row r="54">
          <cell r="B54" t="str">
            <v>Superior Court - Trinity</v>
          </cell>
        </row>
        <row r="55">
          <cell r="B55" t="str">
            <v>Superior Court - Tulare</v>
          </cell>
        </row>
        <row r="56">
          <cell r="B56" t="str">
            <v>Superior Court - Tuolumne</v>
          </cell>
        </row>
        <row r="57">
          <cell r="B57" t="str">
            <v>Superior Court - Ventura</v>
          </cell>
        </row>
        <row r="58">
          <cell r="B58" t="str">
            <v>Superior Court - Yolo</v>
          </cell>
        </row>
        <row r="59">
          <cell r="B59" t="str">
            <v>Superior Court - Yuba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1"/>
      <sheetName val="TCTF"/>
      <sheetName val="All funding sources"/>
      <sheetName val="OEE"/>
      <sheetName val="expenditure"/>
    </sheetNames>
    <sheetDataSet>
      <sheetData sheetId="0"/>
      <sheetData sheetId="1"/>
      <sheetData sheetId="2"/>
      <sheetData sheetId="3">
        <row r="4">
          <cell r="B4">
            <v>1</v>
          </cell>
          <cell r="C4">
            <v>36933</v>
          </cell>
        </row>
        <row r="5">
          <cell r="B5">
            <v>2</v>
          </cell>
          <cell r="C5">
            <v>21861</v>
          </cell>
        </row>
        <row r="6">
          <cell r="B6">
            <v>3</v>
          </cell>
          <cell r="C6">
            <v>20343</v>
          </cell>
        </row>
        <row r="7">
          <cell r="B7">
            <v>4</v>
          </cell>
          <cell r="C7">
            <v>17454</v>
          </cell>
        </row>
        <row r="12">
          <cell r="B12">
            <v>1</v>
          </cell>
          <cell r="C12">
            <v>40042</v>
          </cell>
        </row>
        <row r="13">
          <cell r="B13">
            <v>2</v>
          </cell>
          <cell r="C13">
            <v>24970</v>
          </cell>
        </row>
        <row r="14">
          <cell r="B14">
            <v>3</v>
          </cell>
          <cell r="C14">
            <v>23452</v>
          </cell>
        </row>
        <row r="15">
          <cell r="B15">
            <v>4</v>
          </cell>
          <cell r="C15">
            <v>20564</v>
          </cell>
        </row>
        <row r="45">
          <cell r="B45">
            <v>1</v>
          </cell>
          <cell r="C45">
            <v>43150</v>
          </cell>
        </row>
        <row r="46">
          <cell r="B46">
            <v>2</v>
          </cell>
          <cell r="C46">
            <v>27437</v>
          </cell>
        </row>
        <row r="47">
          <cell r="B47">
            <v>3</v>
          </cell>
          <cell r="C47">
            <v>28228</v>
          </cell>
        </row>
        <row r="48">
          <cell r="B48">
            <v>4</v>
          </cell>
          <cell r="C48">
            <v>25404</v>
          </cell>
        </row>
      </sheetData>
      <sheetData sheetId="4">
        <row r="5">
          <cell r="A5" t="str">
            <v>Alameda</v>
          </cell>
          <cell r="B5">
            <v>74556770</v>
          </cell>
          <cell r="C5">
            <v>16350926</v>
          </cell>
          <cell r="D5">
            <v>90907696</v>
          </cell>
          <cell r="E5">
            <v>76241396</v>
          </cell>
          <cell r="F5">
            <v>17154800</v>
          </cell>
          <cell r="G5">
            <v>93396196</v>
          </cell>
        </row>
        <row r="6">
          <cell r="A6" t="str">
            <v>Alpine</v>
          </cell>
          <cell r="B6">
            <v>290174</v>
          </cell>
          <cell r="C6">
            <v>207360</v>
          </cell>
          <cell r="D6">
            <v>497534</v>
          </cell>
          <cell r="E6">
            <v>290174</v>
          </cell>
          <cell r="F6">
            <v>216036</v>
          </cell>
          <cell r="G6">
            <v>506210</v>
          </cell>
        </row>
        <row r="7">
          <cell r="A7" t="str">
            <v>Amador</v>
          </cell>
          <cell r="B7">
            <v>2204121</v>
          </cell>
          <cell r="C7">
            <v>605212</v>
          </cell>
          <cell r="D7">
            <v>2809333</v>
          </cell>
          <cell r="E7">
            <v>2239416</v>
          </cell>
          <cell r="F7">
            <v>617967</v>
          </cell>
          <cell r="G7">
            <v>2857382</v>
          </cell>
        </row>
        <row r="8">
          <cell r="A8" t="str">
            <v>Butte</v>
          </cell>
          <cell r="B8">
            <v>8011539</v>
          </cell>
          <cell r="C8">
            <v>2688135</v>
          </cell>
          <cell r="D8">
            <v>10699674</v>
          </cell>
          <cell r="E8">
            <v>8474711</v>
          </cell>
          <cell r="F8">
            <v>2791561</v>
          </cell>
          <cell r="G8">
            <v>11266272</v>
          </cell>
        </row>
        <row r="9">
          <cell r="A9" t="str">
            <v>Calaveras</v>
          </cell>
          <cell r="B9">
            <v>2020542</v>
          </cell>
          <cell r="C9">
            <v>688788</v>
          </cell>
          <cell r="D9">
            <v>2709330</v>
          </cell>
          <cell r="E9">
            <v>2190802</v>
          </cell>
          <cell r="F9">
            <v>798754</v>
          </cell>
          <cell r="G9">
            <v>2989556</v>
          </cell>
        </row>
        <row r="10">
          <cell r="A10" t="str">
            <v>Colusa</v>
          </cell>
          <cell r="B10">
            <v>1117307</v>
          </cell>
          <cell r="C10">
            <v>775979</v>
          </cell>
          <cell r="D10">
            <v>1893285</v>
          </cell>
          <cell r="E10">
            <v>1117307</v>
          </cell>
          <cell r="F10">
            <v>775979</v>
          </cell>
          <cell r="G10">
            <v>1893285</v>
          </cell>
        </row>
        <row r="11">
          <cell r="A11" t="str">
            <v>Contra Costa</v>
          </cell>
          <cell r="B11">
            <v>38028992</v>
          </cell>
          <cell r="C11">
            <v>12120556</v>
          </cell>
          <cell r="D11">
            <v>50149548</v>
          </cell>
          <cell r="E11">
            <v>38683228</v>
          </cell>
          <cell r="F11">
            <v>14772859</v>
          </cell>
          <cell r="G11">
            <v>53456087</v>
          </cell>
        </row>
        <row r="12">
          <cell r="A12" t="str">
            <v>Del Norte</v>
          </cell>
          <cell r="B12">
            <v>2234213</v>
          </cell>
          <cell r="C12">
            <v>921063</v>
          </cell>
          <cell r="D12">
            <v>3155276</v>
          </cell>
          <cell r="E12">
            <v>2234213</v>
          </cell>
          <cell r="F12">
            <v>1081331</v>
          </cell>
          <cell r="G12">
            <v>3315543</v>
          </cell>
        </row>
        <row r="13">
          <cell r="A13" t="str">
            <v>El Dorado</v>
          </cell>
          <cell r="B13">
            <v>6757143</v>
          </cell>
          <cell r="C13">
            <v>2038210</v>
          </cell>
          <cell r="D13">
            <v>8795353</v>
          </cell>
          <cell r="E13">
            <v>6829411</v>
          </cell>
          <cell r="F13">
            <v>2105499</v>
          </cell>
          <cell r="G13">
            <v>8934910</v>
          </cell>
        </row>
        <row r="14">
          <cell r="A14" t="str">
            <v>Fresno</v>
          </cell>
          <cell r="B14">
            <v>44438174</v>
          </cell>
          <cell r="C14">
            <v>13462072</v>
          </cell>
          <cell r="D14">
            <v>57900246</v>
          </cell>
          <cell r="E14">
            <v>44697488</v>
          </cell>
          <cell r="F14">
            <v>18174883</v>
          </cell>
          <cell r="G14">
            <v>62872371</v>
          </cell>
        </row>
        <row r="15">
          <cell r="A15" t="str">
            <v>Glenn</v>
          </cell>
          <cell r="B15">
            <v>1491152</v>
          </cell>
          <cell r="C15">
            <v>875561</v>
          </cell>
          <cell r="D15">
            <v>2366713</v>
          </cell>
          <cell r="E15">
            <v>1490423</v>
          </cell>
          <cell r="F15">
            <v>875561</v>
          </cell>
          <cell r="G15">
            <v>2365983</v>
          </cell>
        </row>
        <row r="16">
          <cell r="A16" t="str">
            <v>Humboldt</v>
          </cell>
          <cell r="B16">
            <v>5270010</v>
          </cell>
          <cell r="C16">
            <v>2201860</v>
          </cell>
          <cell r="D16">
            <v>7471870</v>
          </cell>
          <cell r="E16">
            <v>5273363</v>
          </cell>
          <cell r="F16">
            <v>2200512</v>
          </cell>
          <cell r="G16">
            <v>7473875</v>
          </cell>
        </row>
        <row r="17">
          <cell r="A17" t="str">
            <v>Imperial</v>
          </cell>
          <cell r="B17">
            <v>7216528</v>
          </cell>
          <cell r="C17">
            <v>3435981</v>
          </cell>
          <cell r="D17">
            <v>10652509</v>
          </cell>
          <cell r="E17">
            <v>7916528</v>
          </cell>
          <cell r="F17">
            <v>4300808</v>
          </cell>
          <cell r="G17">
            <v>12217336</v>
          </cell>
        </row>
        <row r="18">
          <cell r="A18" t="str">
            <v>Inyo</v>
          </cell>
          <cell r="B18">
            <v>1451356</v>
          </cell>
          <cell r="C18">
            <v>999896</v>
          </cell>
          <cell r="D18">
            <v>2451252</v>
          </cell>
          <cell r="E18">
            <v>1572150</v>
          </cell>
          <cell r="F18">
            <v>1004385</v>
          </cell>
          <cell r="G18">
            <v>2576535</v>
          </cell>
        </row>
        <row r="19">
          <cell r="A19" t="str">
            <v>Kern</v>
          </cell>
          <cell r="B19">
            <v>39245165</v>
          </cell>
          <cell r="C19">
            <v>7500791</v>
          </cell>
          <cell r="D19">
            <v>46745956</v>
          </cell>
          <cell r="E19">
            <v>41907346</v>
          </cell>
          <cell r="F19">
            <v>11161780</v>
          </cell>
          <cell r="G19">
            <v>53069126</v>
          </cell>
        </row>
        <row r="20">
          <cell r="A20" t="str">
            <v>Kings</v>
          </cell>
          <cell r="B20">
            <v>5738811</v>
          </cell>
          <cell r="C20">
            <v>2531177</v>
          </cell>
          <cell r="D20">
            <v>8269989</v>
          </cell>
          <cell r="E20">
            <v>5743982</v>
          </cell>
          <cell r="F20">
            <v>2911857</v>
          </cell>
          <cell r="G20">
            <v>8655839</v>
          </cell>
        </row>
        <row r="21">
          <cell r="A21" t="str">
            <v>Lake</v>
          </cell>
          <cell r="B21">
            <v>2447547</v>
          </cell>
          <cell r="C21">
            <v>1348207</v>
          </cell>
          <cell r="D21">
            <v>3795754</v>
          </cell>
          <cell r="E21">
            <v>2448150</v>
          </cell>
          <cell r="F21">
            <v>1350696</v>
          </cell>
          <cell r="G21">
            <v>3798846</v>
          </cell>
        </row>
        <row r="22">
          <cell r="A22" t="str">
            <v>Lassen</v>
          </cell>
          <cell r="B22">
            <v>2440386</v>
          </cell>
          <cell r="C22">
            <v>648534</v>
          </cell>
          <cell r="D22">
            <v>3088921</v>
          </cell>
          <cell r="E22">
            <v>2478403</v>
          </cell>
          <cell r="F22">
            <v>866221</v>
          </cell>
          <cell r="G22">
            <v>3344624</v>
          </cell>
        </row>
        <row r="23">
          <cell r="A23" t="str">
            <v>Los Angeles</v>
          </cell>
          <cell r="B23">
            <v>533320096</v>
          </cell>
          <cell r="C23">
            <v>94076138</v>
          </cell>
          <cell r="D23">
            <v>627396234</v>
          </cell>
          <cell r="E23">
            <v>548201584</v>
          </cell>
          <cell r="F23">
            <v>105115077</v>
          </cell>
          <cell r="G23">
            <v>653316661</v>
          </cell>
        </row>
        <row r="24">
          <cell r="A24" t="str">
            <v>Madera</v>
          </cell>
          <cell r="B24">
            <v>6984463</v>
          </cell>
          <cell r="C24">
            <v>1829993</v>
          </cell>
          <cell r="D24">
            <v>8814456</v>
          </cell>
          <cell r="E24">
            <v>6984463</v>
          </cell>
          <cell r="F24">
            <v>1829993</v>
          </cell>
          <cell r="G24">
            <v>8814456</v>
          </cell>
        </row>
        <row r="25">
          <cell r="A25" t="str">
            <v>Marin</v>
          </cell>
          <cell r="B25">
            <v>12296183</v>
          </cell>
          <cell r="C25">
            <v>4348960</v>
          </cell>
          <cell r="D25">
            <v>16645143</v>
          </cell>
          <cell r="E25">
            <v>12318200</v>
          </cell>
          <cell r="F25">
            <v>4349663</v>
          </cell>
          <cell r="G25">
            <v>16667863</v>
          </cell>
        </row>
        <row r="26">
          <cell r="A26" t="str">
            <v>Mariposa</v>
          </cell>
          <cell r="B26">
            <v>792771</v>
          </cell>
          <cell r="C26">
            <v>508953</v>
          </cell>
          <cell r="D26">
            <v>1301724</v>
          </cell>
          <cell r="E26">
            <v>792771</v>
          </cell>
          <cell r="F26">
            <v>514721</v>
          </cell>
          <cell r="G26">
            <v>1307492</v>
          </cell>
        </row>
        <row r="27">
          <cell r="A27" t="str">
            <v>Mendocino</v>
          </cell>
          <cell r="B27">
            <v>5205920</v>
          </cell>
          <cell r="C27">
            <v>940891</v>
          </cell>
          <cell r="D27">
            <v>6146811</v>
          </cell>
          <cell r="E27">
            <v>5209013</v>
          </cell>
          <cell r="F27">
            <v>963936</v>
          </cell>
          <cell r="G27">
            <v>6172949</v>
          </cell>
        </row>
        <row r="28">
          <cell r="A28" t="str">
            <v>Merced</v>
          </cell>
          <cell r="B28">
            <v>9387944</v>
          </cell>
          <cell r="C28">
            <v>4310650</v>
          </cell>
          <cell r="D28">
            <v>13698594</v>
          </cell>
          <cell r="E28">
            <v>9391294</v>
          </cell>
          <cell r="F28">
            <v>4566454</v>
          </cell>
          <cell r="G28">
            <v>13957748</v>
          </cell>
        </row>
        <row r="29">
          <cell r="A29" t="str">
            <v>Modoc</v>
          </cell>
          <cell r="B29">
            <v>758375</v>
          </cell>
          <cell r="C29">
            <v>561387</v>
          </cell>
          <cell r="D29">
            <v>1319762</v>
          </cell>
          <cell r="E29">
            <v>823549</v>
          </cell>
          <cell r="F29">
            <v>569334</v>
          </cell>
          <cell r="G29">
            <v>1392883</v>
          </cell>
        </row>
        <row r="30">
          <cell r="A30" t="str">
            <v>Mono</v>
          </cell>
          <cell r="B30">
            <v>1056770</v>
          </cell>
          <cell r="C30">
            <v>724888</v>
          </cell>
          <cell r="D30">
            <v>1781659</v>
          </cell>
          <cell r="E30">
            <v>1056770</v>
          </cell>
          <cell r="F30">
            <v>726890</v>
          </cell>
          <cell r="G30">
            <v>1783661</v>
          </cell>
        </row>
        <row r="31">
          <cell r="A31" t="str">
            <v>Monterey</v>
          </cell>
          <cell r="B31">
            <v>16202406</v>
          </cell>
          <cell r="C31">
            <v>5976382</v>
          </cell>
          <cell r="D31">
            <v>22178787</v>
          </cell>
          <cell r="E31">
            <v>16427590</v>
          </cell>
          <cell r="F31">
            <v>6198033</v>
          </cell>
          <cell r="G31">
            <v>22625623</v>
          </cell>
        </row>
        <row r="32">
          <cell r="A32" t="str">
            <v>Napa</v>
          </cell>
          <cell r="B32">
            <v>7756884</v>
          </cell>
          <cell r="C32">
            <v>1423244</v>
          </cell>
          <cell r="D32">
            <v>9180128</v>
          </cell>
          <cell r="E32">
            <v>7756884</v>
          </cell>
          <cell r="F32">
            <v>1583470</v>
          </cell>
          <cell r="G32">
            <v>9340354</v>
          </cell>
        </row>
        <row r="33">
          <cell r="A33" t="str">
            <v>Nevada</v>
          </cell>
          <cell r="B33">
            <v>5112060</v>
          </cell>
          <cell r="C33">
            <v>1554144</v>
          </cell>
          <cell r="D33">
            <v>6666204</v>
          </cell>
          <cell r="E33">
            <v>5187318</v>
          </cell>
          <cell r="F33">
            <v>1834528</v>
          </cell>
          <cell r="G33">
            <v>7021846</v>
          </cell>
        </row>
        <row r="34">
          <cell r="A34" t="str">
            <v>Orange</v>
          </cell>
          <cell r="B34">
            <v>146660224</v>
          </cell>
          <cell r="C34">
            <v>37156769</v>
          </cell>
          <cell r="D34">
            <v>183816993</v>
          </cell>
          <cell r="E34">
            <v>151754036</v>
          </cell>
          <cell r="F34">
            <v>47084503</v>
          </cell>
          <cell r="G34">
            <v>198838539</v>
          </cell>
        </row>
        <row r="35">
          <cell r="A35" t="str">
            <v>Placer</v>
          </cell>
          <cell r="B35">
            <v>12463100</v>
          </cell>
          <cell r="C35">
            <v>2927110</v>
          </cell>
          <cell r="D35">
            <v>15390210</v>
          </cell>
          <cell r="E35">
            <v>12719832</v>
          </cell>
          <cell r="F35">
            <v>3058510</v>
          </cell>
          <cell r="G35">
            <v>15778341</v>
          </cell>
        </row>
        <row r="36">
          <cell r="A36" t="str">
            <v>Plumas</v>
          </cell>
          <cell r="B36">
            <v>1161223</v>
          </cell>
          <cell r="C36">
            <v>820246</v>
          </cell>
          <cell r="D36">
            <v>1981469</v>
          </cell>
          <cell r="E36">
            <v>1161223</v>
          </cell>
          <cell r="F36">
            <v>1155945</v>
          </cell>
          <cell r="G36">
            <v>2317168</v>
          </cell>
        </row>
        <row r="37">
          <cell r="A37" t="str">
            <v>Riverside</v>
          </cell>
          <cell r="B37">
            <v>88521764</v>
          </cell>
          <cell r="C37">
            <v>23012526</v>
          </cell>
          <cell r="D37">
            <v>111534290</v>
          </cell>
          <cell r="E37">
            <v>94579820</v>
          </cell>
          <cell r="F37">
            <v>29767160</v>
          </cell>
          <cell r="G37">
            <v>124346980</v>
          </cell>
        </row>
        <row r="38">
          <cell r="A38" t="str">
            <v>Sacramento</v>
          </cell>
          <cell r="B38">
            <v>71876964</v>
          </cell>
          <cell r="C38">
            <v>12335650</v>
          </cell>
          <cell r="D38">
            <v>84212614</v>
          </cell>
          <cell r="E38">
            <v>72532240</v>
          </cell>
          <cell r="F38">
            <v>13622005</v>
          </cell>
          <cell r="G38">
            <v>86154245</v>
          </cell>
        </row>
        <row r="39">
          <cell r="A39" t="str">
            <v>San Benito</v>
          </cell>
          <cell r="B39">
            <v>2414823</v>
          </cell>
          <cell r="C39">
            <v>845607</v>
          </cell>
          <cell r="D39">
            <v>3260430</v>
          </cell>
          <cell r="E39">
            <v>2414823</v>
          </cell>
          <cell r="F39">
            <v>848407</v>
          </cell>
          <cell r="G39">
            <v>3263230</v>
          </cell>
        </row>
        <row r="40">
          <cell r="A40" t="str">
            <v>San Bernardino</v>
          </cell>
          <cell r="B40">
            <v>78458900</v>
          </cell>
          <cell r="C40">
            <v>21515322</v>
          </cell>
          <cell r="D40">
            <v>99974222</v>
          </cell>
          <cell r="E40">
            <v>80473690</v>
          </cell>
          <cell r="F40">
            <v>24388913</v>
          </cell>
          <cell r="G40">
            <v>104862603</v>
          </cell>
        </row>
        <row r="41">
          <cell r="A41" t="str">
            <v>San Diego</v>
          </cell>
          <cell r="B41">
            <v>134883956</v>
          </cell>
          <cell r="C41">
            <v>33349661</v>
          </cell>
          <cell r="D41">
            <v>168233617</v>
          </cell>
          <cell r="E41">
            <v>140022964</v>
          </cell>
          <cell r="F41">
            <v>36387830</v>
          </cell>
          <cell r="G41">
            <v>176410794</v>
          </cell>
        </row>
        <row r="42">
          <cell r="A42" t="str">
            <v>San Francisco</v>
          </cell>
          <cell r="B42">
            <v>57658817</v>
          </cell>
          <cell r="C42">
            <v>16229857</v>
          </cell>
          <cell r="D42">
            <v>73888674</v>
          </cell>
          <cell r="E42">
            <v>58665237</v>
          </cell>
          <cell r="F42">
            <v>19679042</v>
          </cell>
          <cell r="G42">
            <v>78344279</v>
          </cell>
        </row>
        <row r="43">
          <cell r="A43" t="str">
            <v>San Joaquin</v>
          </cell>
          <cell r="B43">
            <v>27597211</v>
          </cell>
          <cell r="C43">
            <v>5712381</v>
          </cell>
          <cell r="D43">
            <v>33309592</v>
          </cell>
          <cell r="E43">
            <v>28415757</v>
          </cell>
          <cell r="F43">
            <v>6936714</v>
          </cell>
          <cell r="G43">
            <v>35352471</v>
          </cell>
        </row>
        <row r="44">
          <cell r="A44" t="str">
            <v>San Luis Obispo</v>
          </cell>
          <cell r="B44">
            <v>12998333</v>
          </cell>
          <cell r="C44">
            <v>3572952</v>
          </cell>
          <cell r="D44">
            <v>16571285</v>
          </cell>
          <cell r="E44">
            <v>13451849</v>
          </cell>
          <cell r="F44">
            <v>4016500</v>
          </cell>
          <cell r="G44">
            <v>17468349</v>
          </cell>
        </row>
        <row r="45">
          <cell r="A45" t="str">
            <v>San Mateo</v>
          </cell>
          <cell r="B45">
            <v>33210585</v>
          </cell>
          <cell r="C45">
            <v>6706766</v>
          </cell>
          <cell r="D45">
            <v>39917351</v>
          </cell>
          <cell r="E45">
            <v>33210585</v>
          </cell>
          <cell r="F45">
            <v>7929682</v>
          </cell>
          <cell r="G45">
            <v>41140267</v>
          </cell>
        </row>
        <row r="46">
          <cell r="A46" t="str">
            <v>Santa Barbara</v>
          </cell>
          <cell r="B46">
            <v>21623136</v>
          </cell>
          <cell r="C46">
            <v>4005705</v>
          </cell>
          <cell r="D46">
            <v>25628841</v>
          </cell>
          <cell r="E46">
            <v>23113505</v>
          </cell>
          <cell r="F46">
            <v>4890899</v>
          </cell>
          <cell r="G46">
            <v>28004403</v>
          </cell>
        </row>
        <row r="47">
          <cell r="A47" t="str">
            <v>Santa Clara</v>
          </cell>
          <cell r="B47">
            <v>83969532</v>
          </cell>
          <cell r="C47">
            <v>14184751</v>
          </cell>
          <cell r="D47">
            <v>98154283</v>
          </cell>
          <cell r="E47">
            <v>86386340</v>
          </cell>
          <cell r="F47">
            <v>16474661</v>
          </cell>
          <cell r="G47">
            <v>102861001</v>
          </cell>
        </row>
        <row r="48">
          <cell r="A48" t="str">
            <v>Santa Cruz</v>
          </cell>
          <cell r="B48">
            <v>9838003</v>
          </cell>
          <cell r="C48">
            <v>1903976</v>
          </cell>
          <cell r="D48">
            <v>11741979</v>
          </cell>
          <cell r="E48">
            <v>10205373</v>
          </cell>
          <cell r="F48">
            <v>2097507</v>
          </cell>
          <cell r="G48">
            <v>12302879</v>
          </cell>
        </row>
        <row r="49">
          <cell r="A49" t="str">
            <v>Shasta</v>
          </cell>
          <cell r="B49">
            <v>10368051</v>
          </cell>
          <cell r="C49">
            <v>2692420</v>
          </cell>
          <cell r="D49">
            <v>13060471</v>
          </cell>
          <cell r="E49">
            <v>11970677</v>
          </cell>
          <cell r="F49">
            <v>3156292</v>
          </cell>
          <cell r="G49">
            <v>15126970</v>
          </cell>
        </row>
        <row r="50">
          <cell r="A50" t="str">
            <v>Sierra</v>
          </cell>
          <cell r="B50">
            <v>342181</v>
          </cell>
          <cell r="C50">
            <v>246199</v>
          </cell>
          <cell r="D50">
            <v>588380</v>
          </cell>
          <cell r="E50">
            <v>360351</v>
          </cell>
          <cell r="F50">
            <v>257983</v>
          </cell>
          <cell r="G50">
            <v>618334</v>
          </cell>
        </row>
        <row r="51">
          <cell r="A51" t="str">
            <v>Siskiyou</v>
          </cell>
          <cell r="B51">
            <v>3738475</v>
          </cell>
          <cell r="C51">
            <v>1139500</v>
          </cell>
          <cell r="D51">
            <v>4877975</v>
          </cell>
          <cell r="E51">
            <v>3922145</v>
          </cell>
          <cell r="F51">
            <v>1193615</v>
          </cell>
          <cell r="G51">
            <v>5115760</v>
          </cell>
        </row>
        <row r="52">
          <cell r="A52" t="str">
            <v>Solano</v>
          </cell>
          <cell r="B52">
            <v>19976931</v>
          </cell>
          <cell r="C52">
            <v>8325218</v>
          </cell>
          <cell r="D52">
            <v>28302149</v>
          </cell>
          <cell r="E52">
            <v>20321090</v>
          </cell>
          <cell r="F52">
            <v>8520454</v>
          </cell>
          <cell r="G52">
            <v>28841544</v>
          </cell>
        </row>
        <row r="53">
          <cell r="A53" t="str">
            <v>Sonoma</v>
          </cell>
          <cell r="B53">
            <v>20321968</v>
          </cell>
          <cell r="C53">
            <v>6210897</v>
          </cell>
          <cell r="D53">
            <v>26532865</v>
          </cell>
          <cell r="E53">
            <v>21281968</v>
          </cell>
          <cell r="F53">
            <v>6857375</v>
          </cell>
          <cell r="G53">
            <v>28139343</v>
          </cell>
        </row>
        <row r="54">
          <cell r="A54" t="str">
            <v>Stanislaus</v>
          </cell>
          <cell r="B54">
            <v>18166187</v>
          </cell>
          <cell r="C54">
            <v>2662694</v>
          </cell>
          <cell r="D54">
            <v>20828881</v>
          </cell>
          <cell r="E54">
            <v>18673888</v>
          </cell>
          <cell r="F54">
            <v>3792057</v>
          </cell>
          <cell r="G54">
            <v>22465945</v>
          </cell>
        </row>
        <row r="55">
          <cell r="A55" t="str">
            <v>Sutter</v>
          </cell>
          <cell r="B55">
            <v>4665879</v>
          </cell>
          <cell r="C55">
            <v>1172190</v>
          </cell>
          <cell r="D55">
            <v>5838069</v>
          </cell>
          <cell r="E55">
            <v>4780486</v>
          </cell>
          <cell r="F55">
            <v>1250513</v>
          </cell>
          <cell r="G55">
            <v>6030998</v>
          </cell>
        </row>
        <row r="56">
          <cell r="A56" t="str">
            <v>Tehama</v>
          </cell>
          <cell r="B56">
            <v>3242369</v>
          </cell>
          <cell r="C56">
            <v>950209</v>
          </cell>
          <cell r="D56">
            <v>4192578</v>
          </cell>
          <cell r="E56">
            <v>3242369</v>
          </cell>
          <cell r="F56">
            <v>1048996</v>
          </cell>
          <cell r="G56">
            <v>4291365</v>
          </cell>
        </row>
        <row r="57">
          <cell r="A57" t="str">
            <v>Trinity</v>
          </cell>
          <cell r="B57">
            <v>1125388</v>
          </cell>
          <cell r="C57">
            <v>357845</v>
          </cell>
          <cell r="D57">
            <v>1483233</v>
          </cell>
          <cell r="E57">
            <v>1145909</v>
          </cell>
          <cell r="F57">
            <v>373752</v>
          </cell>
          <cell r="G57">
            <v>1519660</v>
          </cell>
        </row>
        <row r="58">
          <cell r="A58" t="str">
            <v>Tulare</v>
          </cell>
          <cell r="B58">
            <v>16682001</v>
          </cell>
          <cell r="C58">
            <v>4782607</v>
          </cell>
          <cell r="D58">
            <v>21464608</v>
          </cell>
          <cell r="E58">
            <v>17409927</v>
          </cell>
          <cell r="F58">
            <v>6145702</v>
          </cell>
          <cell r="G58">
            <v>23555629</v>
          </cell>
        </row>
        <row r="59">
          <cell r="A59" t="str">
            <v>Tuolumne</v>
          </cell>
          <cell r="B59">
            <v>2785805</v>
          </cell>
          <cell r="C59">
            <v>793775</v>
          </cell>
          <cell r="D59">
            <v>3579581</v>
          </cell>
          <cell r="E59">
            <v>3050010</v>
          </cell>
          <cell r="F59">
            <v>933719</v>
          </cell>
          <cell r="G59">
            <v>3983729</v>
          </cell>
        </row>
        <row r="60">
          <cell r="A60" t="str">
            <v>Ventura</v>
          </cell>
          <cell r="B60">
            <v>29484950</v>
          </cell>
          <cell r="C60">
            <v>8653651</v>
          </cell>
          <cell r="D60">
            <v>38138601</v>
          </cell>
          <cell r="E60">
            <v>33067974</v>
          </cell>
          <cell r="F60">
            <v>10466196</v>
          </cell>
          <cell r="G60">
            <v>43534170</v>
          </cell>
        </row>
        <row r="61">
          <cell r="A61" t="str">
            <v>Yolo</v>
          </cell>
          <cell r="B61">
            <v>6978960</v>
          </cell>
          <cell r="C61">
            <v>2550555</v>
          </cell>
          <cell r="D61">
            <v>9529515</v>
          </cell>
          <cell r="E61">
            <v>7813930</v>
          </cell>
          <cell r="F61">
            <v>2962058</v>
          </cell>
          <cell r="G61">
            <v>10775988</v>
          </cell>
        </row>
        <row r="62">
          <cell r="A62" t="str">
            <v>Yuba</v>
          </cell>
          <cell r="B62">
            <v>3625993</v>
          </cell>
          <cell r="C62">
            <v>1088191</v>
          </cell>
          <cell r="D62">
            <v>4714184</v>
          </cell>
          <cell r="E62">
            <v>4017905</v>
          </cell>
          <cell r="F62">
            <v>1523641</v>
          </cell>
          <cell r="G62">
            <v>5541546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y Revise"/>
      <sheetName val="10R_1st Pass"/>
      <sheetName val="Revenue and Funding"/>
      <sheetName val="New Revenues"/>
      <sheetName val="Filings Detail"/>
      <sheetName val="Revenue Detail"/>
      <sheetName val="Filings Summary"/>
      <sheetName val="Revenue Summary"/>
      <sheetName val="First Paper"/>
      <sheetName val="Unlimited"/>
      <sheetName val="Limited 10K"/>
      <sheetName val="Marriage Dissolution"/>
      <sheetName val="Limited 10K to 25K"/>
      <sheetName val="GC 70626 Fees"/>
      <sheetName val="Motion Fees"/>
      <sheetName val="Probate Fees"/>
      <sheetName val="Limited 5K"/>
      <sheetName val="Family Law"/>
      <sheetName val="SMIF"/>
      <sheetName val="Telephonic Appearance"/>
      <sheetName val="Access EAF Dist"/>
      <sheetName val="TC145 Template 20140101"/>
      <sheetName val="Access TC-145 Calc Data13-14"/>
      <sheetName val="Access TEALE Data13-14"/>
      <sheetName val="Access TC-145 Calc Data12-13"/>
      <sheetName val="Access TEALE Data12-13"/>
      <sheetName val="Access TC-145 Calc Data11-12"/>
      <sheetName val="Access TEALE Data11-12"/>
      <sheetName val="Access TC-145 Calc Data10-11"/>
      <sheetName val="Access TEALE Data10-11"/>
      <sheetName val="Access TC-145 Calc Data09-10"/>
      <sheetName val="Access TEALE Data09-10"/>
      <sheetName val="Access TC-145 Calc Data08-09"/>
      <sheetName val="Access TEALE Data08-09"/>
      <sheetName val="Access TC-145 Calc Data07-08"/>
      <sheetName val="Access TEALE Data07-08"/>
      <sheetName val="Access TC-145 Calc Data06-07"/>
      <sheetName val="Access TEALE Data06-07"/>
      <sheetName val="Access TC-145 Calc Data05-06"/>
      <sheetName val="Access TEALE Data05-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Macro1"/>
    </sheetNames>
    <sheetDataSet>
      <sheetData sheetId="0"/>
      <sheetData sheetId="1">
        <row r="76">
          <cell r="A76"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_PCC list &amp; reduction"/>
      <sheetName val="Program Listing and Reducti (2)"/>
      <sheetName val="Program Listing and Reductions"/>
      <sheetName val="Mod Fund"/>
      <sheetName val="TCIF"/>
      <sheetName val="All Div - B1"/>
      <sheetName val="All Div - B2"/>
      <sheetName val="Combo Box"/>
    </sheetNames>
    <sheetDataSet>
      <sheetData sheetId="0"/>
      <sheetData sheetId="1"/>
      <sheetData sheetId="2"/>
      <sheetData sheetId="3"/>
      <sheetData sheetId="4"/>
      <sheetData sheetId="5"/>
      <sheetData sheetId="6"/>
      <sheetData sheetId="7">
        <row r="2">
          <cell r="A2" t="str">
            <v>Discontinue</v>
          </cell>
        </row>
        <row r="3">
          <cell r="A3" t="str">
            <v>Suspend</v>
          </cell>
        </row>
        <row r="4">
          <cell r="A4" t="str">
            <v>Partial</v>
          </cell>
        </row>
        <row r="5">
          <cell r="A5" t="str">
            <v>No Change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TF 2009-10 2nd Turn (3)"/>
      <sheetName val="TCTF 2009-10 2nd Turn (2)"/>
      <sheetName val="TCTF 2009-10 2nd Turn"/>
      <sheetName val="FY 2008-09 Overview"/>
      <sheetName val="TEALE 2008"/>
      <sheetName val="TEALE 2008 (2)"/>
      <sheetName val="Account Descriptions"/>
      <sheetName val="Summary (2)"/>
      <sheetName val="Summary"/>
      <sheetName val="Sheet9"/>
      <sheetName val="FY 2008-09_Months"/>
      <sheetName val="TEALE 2006"/>
      <sheetName val="TEALE 2005"/>
      <sheetName val="Account Pvt Table"/>
      <sheetName val="Pvt Tbl 2"/>
      <sheetName val="Pvt Tbl"/>
      <sheetName val="Jeff_qryTC145B11 (2)"/>
      <sheetName val="Jeff_qryTC145B11"/>
      <sheetName val="New_Code_Section_and_TC_145_Row"/>
      <sheetName val="TC-145 Row_ID_Description"/>
      <sheetName val="TC-145 Template"/>
    </sheetNames>
    <sheetDataSet>
      <sheetData sheetId="0">
        <row r="10">
          <cell r="C10">
            <v>498600</v>
          </cell>
        </row>
      </sheetData>
      <sheetData sheetId="1"/>
      <sheetData sheetId="2"/>
      <sheetData sheetId="3"/>
      <sheetData sheetId="4">
        <row r="19">
          <cell r="B19">
            <v>30438790.829999998</v>
          </cell>
        </row>
      </sheetData>
      <sheetData sheetId="5">
        <row r="4">
          <cell r="A4">
            <v>131700</v>
          </cell>
        </row>
      </sheetData>
      <sheetData sheetId="6">
        <row r="3">
          <cell r="B3">
            <v>131700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W1" t="str">
            <v>Superior Court - Los Angeles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port Template Example"/>
      <sheetName val="Report Template Instructions"/>
      <sheetName val="Report Template"/>
      <sheetName val="Report Template with comments"/>
      <sheetName val="Revision Crosswalk"/>
      <sheetName val="Schedule D Instructions"/>
      <sheetName val="Schedule D"/>
      <sheetName val="Schedule F Instructions"/>
      <sheetName val="Schedule F"/>
      <sheetName val="Certification"/>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F1" t="str">
            <v>Madera</v>
          </cell>
        </row>
      </sheetData>
    </sheetDataSet>
  </externalBook>
</externalLink>
</file>

<file path=xl/persons/person.xml><?xml version="1.0" encoding="utf-8"?>
<personList xmlns="http://schemas.microsoft.com/office/spreadsheetml/2018/threadedcomments" xmlns:x="http://schemas.openxmlformats.org/spreadsheetml/2006/main">
  <person displayName="Glavin, Joseph" id="{A0B075E7-F545-464F-92CB-F7047EC772A1}" userId="S::Joseph.Glavin@jud.ca.gov::24198711-bb2d-4844-85c4-adffc8a1f69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5" dT="2022-04-07T22:54:59.42" personId="{A0B075E7-F545-464F-92CB-F7047EC772A1}" id="{ADAEA5D8-8DE2-4242-B265-07B412785CEF}">
    <text>Added to account for Lassen and Tehama, which do not have 1 FTE values.</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workbookViewId="0">
      <selection activeCell="B21" sqref="B21"/>
    </sheetView>
  </sheetViews>
  <sheetFormatPr defaultRowHeight="14.5" x14ac:dyDescent="0.35"/>
  <cols>
    <col min="1" max="1" width="20" bestFit="1" customWidth="1"/>
    <col min="2" max="2" width="199.1796875" bestFit="1" customWidth="1"/>
  </cols>
  <sheetData>
    <row r="1" spans="1:2" s="3" customFormat="1" x14ac:dyDescent="0.35">
      <c r="A1" s="3" t="s">
        <v>114</v>
      </c>
      <c r="B1" s="3" t="s">
        <v>64</v>
      </c>
    </row>
    <row r="2" spans="1:2" s="3" customFormat="1" x14ac:dyDescent="0.35">
      <c r="A2" t="s">
        <v>74</v>
      </c>
      <c r="B2" s="40"/>
    </row>
    <row r="3" spans="1:2" s="3" customFormat="1" x14ac:dyDescent="0.35"/>
    <row r="4" spans="1:2" x14ac:dyDescent="0.35">
      <c r="A4" t="s">
        <v>115</v>
      </c>
      <c r="B4" s="4" t="s">
        <v>232</v>
      </c>
    </row>
    <row r="5" spans="1:2" ht="29" x14ac:dyDescent="0.35">
      <c r="B5" s="4" t="s">
        <v>117</v>
      </c>
    </row>
    <row r="6" spans="1:2" x14ac:dyDescent="0.35">
      <c r="B6" s="4"/>
    </row>
    <row r="7" spans="1:2" x14ac:dyDescent="0.35">
      <c r="A7" t="s">
        <v>120</v>
      </c>
      <c r="B7" s="4" t="s">
        <v>121</v>
      </c>
    </row>
    <row r="9" spans="1:2" x14ac:dyDescent="0.35">
      <c r="A9" t="s">
        <v>116</v>
      </c>
      <c r="B9" s="4" t="s">
        <v>119</v>
      </c>
    </row>
    <row r="10" spans="1:2" x14ac:dyDescent="0.35">
      <c r="B10" s="4"/>
    </row>
    <row r="11" spans="1:2" ht="29" x14ac:dyDescent="0.35">
      <c r="A11" t="s">
        <v>118</v>
      </c>
      <c r="B11" s="4" t="s">
        <v>122</v>
      </c>
    </row>
    <row r="13" spans="1:2" x14ac:dyDescent="0.35">
      <c r="A13" t="s">
        <v>123</v>
      </c>
      <c r="B13" t="s">
        <v>130</v>
      </c>
    </row>
    <row r="15" spans="1:2" x14ac:dyDescent="0.35">
      <c r="A15" t="s">
        <v>124</v>
      </c>
      <c r="B15" t="s">
        <v>130</v>
      </c>
    </row>
    <row r="17" spans="1:2" x14ac:dyDescent="0.35">
      <c r="A17" t="s">
        <v>125</v>
      </c>
      <c r="B17" t="s">
        <v>131</v>
      </c>
    </row>
    <row r="19" spans="1:2" x14ac:dyDescent="0.35">
      <c r="A19" t="s">
        <v>126</v>
      </c>
      <c r="B19" t="s">
        <v>132</v>
      </c>
    </row>
    <row r="21" spans="1:2" x14ac:dyDescent="0.35">
      <c r="A21" t="s">
        <v>127</v>
      </c>
      <c r="B21" s="39"/>
    </row>
    <row r="23" spans="1:2" x14ac:dyDescent="0.35">
      <c r="A23" t="s">
        <v>133</v>
      </c>
      <c r="B23" t="s">
        <v>134</v>
      </c>
    </row>
    <row r="25" spans="1:2" x14ac:dyDescent="0.35">
      <c r="A25" t="s">
        <v>128</v>
      </c>
      <c r="B25" t="s">
        <v>135</v>
      </c>
    </row>
    <row r="27" spans="1:2" x14ac:dyDescent="0.35">
      <c r="A27" t="s">
        <v>129</v>
      </c>
      <c r="B27" t="s">
        <v>136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D586-5771-4BEC-B6FE-F634D30EE3BF}">
  <sheetPr>
    <tabColor rgb="FF92D050"/>
    <pageSetUpPr fitToPage="1"/>
  </sheetPr>
  <dimension ref="A1:C11"/>
  <sheetViews>
    <sheetView zoomScaleNormal="100" workbookViewId="0">
      <selection activeCell="C4" sqref="C4"/>
    </sheetView>
  </sheetViews>
  <sheetFormatPr defaultColWidth="9.1796875" defaultRowHeight="14.5" x14ac:dyDescent="0.35"/>
  <cols>
    <col min="1" max="1" width="10.54296875" style="52" customWidth="1"/>
    <col min="2" max="2" width="14.54296875" style="52" customWidth="1"/>
    <col min="3" max="3" width="26.1796875" style="52" customWidth="1"/>
    <col min="4" max="16384" width="9.1796875" style="52"/>
  </cols>
  <sheetData>
    <row r="1" spans="1:3" ht="18.5" x14ac:dyDescent="0.35">
      <c r="A1" s="161" t="s">
        <v>194</v>
      </c>
    </row>
    <row r="2" spans="1:3" ht="20.149999999999999" customHeight="1" x14ac:dyDescent="0.35">
      <c r="A2" s="48" t="s">
        <v>238</v>
      </c>
    </row>
    <row r="3" spans="1:3" ht="20.149999999999999" customHeight="1" x14ac:dyDescent="0.35"/>
    <row r="4" spans="1:3" ht="29" x14ac:dyDescent="0.35">
      <c r="B4" s="228" t="s">
        <v>68</v>
      </c>
      <c r="C4" s="41" t="s">
        <v>193</v>
      </c>
    </row>
    <row r="5" spans="1:3" x14ac:dyDescent="0.35">
      <c r="B5" s="77" t="s">
        <v>65</v>
      </c>
      <c r="C5" s="77" t="s">
        <v>1</v>
      </c>
    </row>
    <row r="6" spans="1:3" ht="20.149999999999999" customHeight="1" x14ac:dyDescent="0.35">
      <c r="B6" s="64">
        <v>1</v>
      </c>
      <c r="C6" s="190">
        <v>37452.14164800608</v>
      </c>
    </row>
    <row r="7" spans="1:3" ht="20.149999999999999" customHeight="1" x14ac:dyDescent="0.35">
      <c r="B7" s="64">
        <v>2</v>
      </c>
      <c r="C7" s="190">
        <v>19073.216683341445</v>
      </c>
    </row>
    <row r="8" spans="1:3" ht="20.149999999999999" customHeight="1" x14ac:dyDescent="0.35">
      <c r="B8" s="64">
        <v>3</v>
      </c>
      <c r="C8" s="190">
        <v>19073.216683341445</v>
      </c>
    </row>
    <row r="9" spans="1:3" ht="20.149999999999999" customHeight="1" x14ac:dyDescent="0.35">
      <c r="B9" s="64">
        <v>4</v>
      </c>
      <c r="C9" s="190">
        <v>19073.216683341445</v>
      </c>
    </row>
    <row r="10" spans="1:3" ht="20.149999999999999" customHeight="1" x14ac:dyDescent="0.35">
      <c r="B10" s="55"/>
    </row>
    <row r="11" spans="1:3" ht="20.149999999999999" customHeight="1" x14ac:dyDescent="0.35">
      <c r="B11" s="60" t="s">
        <v>242</v>
      </c>
    </row>
  </sheetData>
  <printOptions horizontalCentered="1"/>
  <pageMargins left="0.45" right="0.45" top="0.5" bottom="0.75" header="0.3" footer="0.3"/>
  <pageSetup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AACE-D4C9-44DF-A9FE-87DD490D0245}">
  <sheetPr>
    <tabColor rgb="FFFF0000"/>
  </sheetPr>
  <dimension ref="A1:J63"/>
  <sheetViews>
    <sheetView workbookViewId="0">
      <selection activeCell="E19" sqref="E19"/>
    </sheetView>
  </sheetViews>
  <sheetFormatPr defaultRowHeight="14.5" x14ac:dyDescent="0.35"/>
  <cols>
    <col min="1" max="1" width="11" style="247" customWidth="1"/>
    <col min="2" max="2" width="14.81640625" bestFit="1" customWidth="1"/>
    <col min="3" max="4" width="15.54296875" bestFit="1" customWidth="1"/>
    <col min="5" max="5" width="20" bestFit="1" customWidth="1"/>
    <col min="7" max="7" width="15.54296875" customWidth="1"/>
    <col min="8" max="8" width="22.81640625" customWidth="1"/>
    <col min="9" max="9" width="11.1796875" bestFit="1" customWidth="1"/>
    <col min="10" max="10" width="13.453125" customWidth="1"/>
  </cols>
  <sheetData>
    <row r="1" spans="1:10" ht="23.15" customHeight="1" x14ac:dyDescent="0.35">
      <c r="A1" s="254" t="s">
        <v>240</v>
      </c>
    </row>
    <row r="2" spans="1:10" x14ac:dyDescent="0.35">
      <c r="A2" s="48" t="s">
        <v>238</v>
      </c>
    </row>
    <row r="4" spans="1:10" ht="29" x14ac:dyDescent="0.35">
      <c r="A4" s="243" t="s">
        <v>212</v>
      </c>
      <c r="B4" s="243" t="s">
        <v>208</v>
      </c>
      <c r="C4" s="197" t="s">
        <v>209</v>
      </c>
      <c r="D4" s="197" t="s">
        <v>210</v>
      </c>
      <c r="E4" s="197" t="s">
        <v>227</v>
      </c>
    </row>
    <row r="5" spans="1:10" x14ac:dyDescent="0.35">
      <c r="A5" s="246">
        <v>1</v>
      </c>
      <c r="B5" s="261" t="s">
        <v>53</v>
      </c>
      <c r="C5" s="69">
        <v>1687422.45</v>
      </c>
      <c r="D5" s="69">
        <v>452881.34</v>
      </c>
      <c r="E5" s="69">
        <f>C5+D5</f>
        <v>2140303.79</v>
      </c>
      <c r="G5" s="252"/>
      <c r="I5" s="250"/>
      <c r="J5" s="253"/>
    </row>
    <row r="6" spans="1:10" x14ac:dyDescent="0.35">
      <c r="A6" s="246">
        <v>2</v>
      </c>
      <c r="B6" s="261" t="s">
        <v>4</v>
      </c>
      <c r="C6" s="248">
        <v>0</v>
      </c>
      <c r="D6" s="248">
        <v>0</v>
      </c>
      <c r="E6" s="248">
        <f>C6+D6</f>
        <v>0</v>
      </c>
      <c r="G6" s="252"/>
      <c r="I6" s="250"/>
    </row>
    <row r="7" spans="1:10" x14ac:dyDescent="0.35">
      <c r="A7" s="246">
        <v>3</v>
      </c>
      <c r="B7" s="261" t="s">
        <v>5</v>
      </c>
      <c r="C7" s="248">
        <v>117246.36</v>
      </c>
      <c r="D7" s="248">
        <v>38838.019999999997</v>
      </c>
      <c r="E7" s="248">
        <f>C7+D7</f>
        <v>156084.38</v>
      </c>
      <c r="G7" s="252"/>
      <c r="I7" s="250"/>
      <c r="J7" s="253"/>
    </row>
    <row r="8" spans="1:10" x14ac:dyDescent="0.35">
      <c r="A8" s="246">
        <v>4</v>
      </c>
      <c r="B8" s="261" t="s">
        <v>19</v>
      </c>
      <c r="C8" s="248">
        <v>128012.65</v>
      </c>
      <c r="D8" s="248">
        <v>112239.67999999999</v>
      </c>
      <c r="E8" s="248">
        <f t="shared" ref="E8:E62" si="0">C8+D8</f>
        <v>240252.33</v>
      </c>
      <c r="G8" s="252"/>
      <c r="I8" s="250"/>
      <c r="J8" s="253"/>
    </row>
    <row r="9" spans="1:10" x14ac:dyDescent="0.35">
      <c r="A9" s="246">
        <v>5</v>
      </c>
      <c r="B9" s="261" t="s">
        <v>6</v>
      </c>
      <c r="C9" s="248">
        <v>113470.26</v>
      </c>
      <c r="D9" s="248">
        <v>41827.83</v>
      </c>
      <c r="E9" s="248">
        <f t="shared" si="0"/>
        <v>155298.09</v>
      </c>
      <c r="G9" s="252"/>
      <c r="I9" s="250"/>
      <c r="J9" s="253"/>
    </row>
    <row r="10" spans="1:10" x14ac:dyDescent="0.35">
      <c r="A10" s="246">
        <v>6</v>
      </c>
      <c r="B10" s="261" t="s">
        <v>7</v>
      </c>
      <c r="C10" s="248">
        <v>29284.78</v>
      </c>
      <c r="D10" s="248">
        <v>36951.279999999999</v>
      </c>
      <c r="E10" s="248">
        <f t="shared" si="0"/>
        <v>66236.06</v>
      </c>
      <c r="G10" s="252"/>
      <c r="I10" s="250"/>
      <c r="J10" s="253"/>
    </row>
    <row r="11" spans="1:10" x14ac:dyDescent="0.35">
      <c r="A11" s="246">
        <v>7</v>
      </c>
      <c r="B11" s="261" t="s">
        <v>41</v>
      </c>
      <c r="C11" s="248">
        <v>717166.68</v>
      </c>
      <c r="D11" s="248">
        <v>250521.5</v>
      </c>
      <c r="E11" s="248">
        <f t="shared" si="0"/>
        <v>967688.18</v>
      </c>
      <c r="G11" s="252"/>
      <c r="I11" s="250"/>
      <c r="J11" s="253"/>
    </row>
    <row r="12" spans="1:10" x14ac:dyDescent="0.35">
      <c r="A12" s="246">
        <v>8</v>
      </c>
      <c r="B12" s="261" t="s">
        <v>8</v>
      </c>
      <c r="C12" s="248">
        <v>65319.57</v>
      </c>
      <c r="D12" s="248">
        <v>54095.86</v>
      </c>
      <c r="E12" s="248">
        <f t="shared" si="0"/>
        <v>119415.43</v>
      </c>
      <c r="G12" s="252"/>
      <c r="I12" s="250"/>
      <c r="J12" s="253"/>
    </row>
    <row r="13" spans="1:10" x14ac:dyDescent="0.35">
      <c r="A13" s="246">
        <v>9</v>
      </c>
      <c r="B13" s="261" t="s">
        <v>20</v>
      </c>
      <c r="C13" s="248">
        <v>148923.19</v>
      </c>
      <c r="D13" s="248">
        <v>125554.92</v>
      </c>
      <c r="E13" s="248">
        <f t="shared" si="0"/>
        <v>274478.11</v>
      </c>
      <c r="G13" s="252"/>
      <c r="I13" s="250"/>
      <c r="J13" s="253"/>
    </row>
    <row r="14" spans="1:10" x14ac:dyDescent="0.35">
      <c r="A14" s="246">
        <v>10</v>
      </c>
      <c r="B14" s="261" t="s">
        <v>42</v>
      </c>
      <c r="C14" s="248">
        <v>2078798.54</v>
      </c>
      <c r="D14" s="248">
        <v>503659</v>
      </c>
      <c r="E14" s="248">
        <f t="shared" si="0"/>
        <v>2582457.54</v>
      </c>
      <c r="G14" s="252"/>
      <c r="I14" s="253"/>
      <c r="J14" s="253"/>
    </row>
    <row r="15" spans="1:10" x14ac:dyDescent="0.35">
      <c r="A15" s="246">
        <v>11</v>
      </c>
      <c r="B15" s="261" t="s">
        <v>9</v>
      </c>
      <c r="C15" s="248">
        <v>76999.199999999997</v>
      </c>
      <c r="D15" s="248">
        <v>45528.71</v>
      </c>
      <c r="E15" s="248">
        <f t="shared" si="0"/>
        <v>122527.91</v>
      </c>
      <c r="G15" s="251"/>
      <c r="H15" s="250"/>
      <c r="I15" s="253"/>
      <c r="J15" s="253"/>
    </row>
    <row r="16" spans="1:10" x14ac:dyDescent="0.35">
      <c r="A16" s="246">
        <v>12</v>
      </c>
      <c r="B16" s="261" t="s">
        <v>21</v>
      </c>
      <c r="C16" s="248">
        <v>131126.46</v>
      </c>
      <c r="D16" s="248">
        <v>107415.51</v>
      </c>
      <c r="E16" s="248">
        <f t="shared" si="0"/>
        <v>238541.96999999997</v>
      </c>
      <c r="G16" s="251"/>
      <c r="H16" s="250"/>
      <c r="I16" s="253"/>
      <c r="J16" s="253"/>
    </row>
    <row r="17" spans="1:10" x14ac:dyDescent="0.35">
      <c r="A17" s="246">
        <v>13</v>
      </c>
      <c r="B17" s="261" t="s">
        <v>22</v>
      </c>
      <c r="C17" s="248">
        <v>281103</v>
      </c>
      <c r="D17" s="248">
        <v>23859.42</v>
      </c>
      <c r="E17" s="248">
        <f>C17+D17</f>
        <v>304962.42</v>
      </c>
      <c r="G17" s="251"/>
      <c r="H17" s="250"/>
      <c r="I17" s="253"/>
      <c r="J17" s="253"/>
    </row>
    <row r="18" spans="1:10" x14ac:dyDescent="0.35">
      <c r="A18" s="246">
        <v>14</v>
      </c>
      <c r="B18" s="261" t="s">
        <v>10</v>
      </c>
      <c r="C18" s="248">
        <v>24724.78</v>
      </c>
      <c r="D18" s="248">
        <v>46222.61</v>
      </c>
      <c r="E18" s="248">
        <f t="shared" si="0"/>
        <v>70947.39</v>
      </c>
      <c r="G18" s="251"/>
      <c r="H18" s="250"/>
      <c r="I18" s="253"/>
      <c r="J18" s="253"/>
    </row>
    <row r="19" spans="1:10" x14ac:dyDescent="0.35">
      <c r="A19" s="246">
        <v>15</v>
      </c>
      <c r="B19" s="261" t="s">
        <v>43</v>
      </c>
      <c r="C19" s="248">
        <v>1041797.49</v>
      </c>
      <c r="D19" s="248">
        <v>134852.54</v>
      </c>
      <c r="E19" s="248">
        <f t="shared" si="0"/>
        <v>1176650.03</v>
      </c>
      <c r="G19" s="251"/>
      <c r="H19" s="250"/>
      <c r="I19" s="253"/>
      <c r="J19" s="253"/>
    </row>
    <row r="20" spans="1:10" x14ac:dyDescent="0.35">
      <c r="A20" s="246">
        <v>16</v>
      </c>
      <c r="B20" s="261" t="s">
        <v>23</v>
      </c>
      <c r="C20" s="248">
        <v>330397.09000000003</v>
      </c>
      <c r="D20" s="248">
        <v>22112.44</v>
      </c>
      <c r="E20" s="248">
        <f t="shared" si="0"/>
        <v>352509.53</v>
      </c>
      <c r="G20" s="251"/>
      <c r="H20" s="250"/>
      <c r="I20" s="253"/>
      <c r="J20" s="253"/>
    </row>
    <row r="21" spans="1:10" x14ac:dyDescent="0.35">
      <c r="A21" s="246">
        <v>17</v>
      </c>
      <c r="B21" s="261" t="s">
        <v>24</v>
      </c>
      <c r="C21" s="248">
        <v>190419.93</v>
      </c>
      <c r="D21" s="248">
        <v>82736.52</v>
      </c>
      <c r="E21" s="248">
        <f t="shared" si="0"/>
        <v>273156.45</v>
      </c>
      <c r="G21" s="251"/>
      <c r="H21" s="250"/>
      <c r="I21" s="253"/>
      <c r="J21" s="253"/>
    </row>
    <row r="22" spans="1:10" x14ac:dyDescent="0.35">
      <c r="A22" s="246">
        <v>18</v>
      </c>
      <c r="B22" s="261" t="s">
        <v>11</v>
      </c>
      <c r="C22" s="248">
        <v>50871.28</v>
      </c>
      <c r="D22" s="248">
        <v>62644.84</v>
      </c>
      <c r="E22" s="248">
        <f t="shared" si="0"/>
        <v>113516.12</v>
      </c>
      <c r="G22" s="251"/>
      <c r="H22" s="250"/>
      <c r="I22" s="253"/>
      <c r="J22" s="253"/>
    </row>
    <row r="23" spans="1:10" x14ac:dyDescent="0.35">
      <c r="A23" s="246">
        <v>19</v>
      </c>
      <c r="B23" s="261" t="s">
        <v>54</v>
      </c>
      <c r="C23" s="248">
        <v>7348302.1200000001</v>
      </c>
      <c r="D23" s="248">
        <v>2417535.5699999998</v>
      </c>
      <c r="E23" s="248">
        <f t="shared" si="0"/>
        <v>9765837.6899999995</v>
      </c>
      <c r="G23" s="251"/>
      <c r="H23" s="250"/>
      <c r="I23" s="253"/>
      <c r="J23" s="253"/>
    </row>
    <row r="24" spans="1:10" x14ac:dyDescent="0.35">
      <c r="A24" s="246">
        <v>20</v>
      </c>
      <c r="B24" s="261" t="s">
        <v>25</v>
      </c>
      <c r="C24" s="248">
        <v>284220.03000000003</v>
      </c>
      <c r="D24" s="248">
        <v>75386.559999999998</v>
      </c>
      <c r="E24" s="248">
        <f t="shared" si="0"/>
        <v>359606.59</v>
      </c>
      <c r="G24" s="251"/>
      <c r="H24" s="250"/>
      <c r="I24" s="253"/>
      <c r="J24" s="253"/>
    </row>
    <row r="25" spans="1:10" x14ac:dyDescent="0.35">
      <c r="A25" s="246">
        <v>21</v>
      </c>
      <c r="B25" s="261" t="s">
        <v>26</v>
      </c>
      <c r="C25" s="248">
        <v>152362.31</v>
      </c>
      <c r="D25" s="248">
        <v>84732.99</v>
      </c>
      <c r="E25" s="248">
        <f t="shared" si="0"/>
        <v>237095.3</v>
      </c>
      <c r="G25" s="251"/>
      <c r="H25" s="250"/>
      <c r="I25" s="253"/>
      <c r="J25" s="253"/>
    </row>
    <row r="26" spans="1:10" x14ac:dyDescent="0.35">
      <c r="A26" s="246">
        <v>22</v>
      </c>
      <c r="B26" s="261" t="s">
        <v>12</v>
      </c>
      <c r="C26" s="248">
        <v>21805.29</v>
      </c>
      <c r="D26" s="248">
        <v>2565</v>
      </c>
      <c r="E26" s="248">
        <f t="shared" si="0"/>
        <v>24370.29</v>
      </c>
      <c r="G26" s="251"/>
      <c r="H26" s="250"/>
      <c r="I26" s="253"/>
      <c r="J26" s="253"/>
    </row>
    <row r="27" spans="1:10" x14ac:dyDescent="0.35">
      <c r="A27" s="246">
        <v>23</v>
      </c>
      <c r="B27" s="261" t="s">
        <v>27</v>
      </c>
      <c r="C27" s="248">
        <v>170435.37</v>
      </c>
      <c r="D27" s="248">
        <v>0</v>
      </c>
      <c r="E27" s="248">
        <f t="shared" si="0"/>
        <v>170435.37</v>
      </c>
      <c r="G27" s="251"/>
      <c r="H27" s="250"/>
      <c r="I27" s="253"/>
      <c r="J27" s="253"/>
    </row>
    <row r="28" spans="1:10" x14ac:dyDescent="0.35">
      <c r="A28" s="246">
        <v>24</v>
      </c>
      <c r="B28" s="261" t="s">
        <v>28</v>
      </c>
      <c r="C28" s="248">
        <v>524722.81999999995</v>
      </c>
      <c r="D28" s="248">
        <v>140977.18</v>
      </c>
      <c r="E28" s="248">
        <f t="shared" si="0"/>
        <v>665700</v>
      </c>
      <c r="G28" s="251"/>
      <c r="H28" s="250"/>
      <c r="I28" s="253"/>
      <c r="J28" s="253"/>
    </row>
    <row r="29" spans="1:10" x14ac:dyDescent="0.35">
      <c r="A29" s="246">
        <v>25</v>
      </c>
      <c r="B29" s="261" t="s">
        <v>13</v>
      </c>
      <c r="C29" s="248">
        <v>0</v>
      </c>
      <c r="D29" s="248">
        <v>71818</v>
      </c>
      <c r="E29" s="248">
        <f t="shared" si="0"/>
        <v>71818</v>
      </c>
      <c r="G29" s="251"/>
      <c r="H29" s="250"/>
      <c r="J29" s="253"/>
    </row>
    <row r="30" spans="1:10" x14ac:dyDescent="0.35">
      <c r="A30" s="246">
        <v>26</v>
      </c>
      <c r="B30" s="261" t="s">
        <v>14</v>
      </c>
      <c r="C30" s="248">
        <v>10050.92</v>
      </c>
      <c r="D30" s="248">
        <v>48594.14</v>
      </c>
      <c r="E30" s="248">
        <f t="shared" si="0"/>
        <v>58645.06</v>
      </c>
      <c r="G30" s="251"/>
      <c r="H30" s="250"/>
      <c r="I30" s="253"/>
      <c r="J30" s="253"/>
    </row>
    <row r="31" spans="1:10" x14ac:dyDescent="0.35">
      <c r="A31" s="246">
        <v>27</v>
      </c>
      <c r="B31" s="261" t="s">
        <v>44</v>
      </c>
      <c r="C31" s="248">
        <v>386402.66</v>
      </c>
      <c r="D31" s="248">
        <v>53856</v>
      </c>
      <c r="E31" s="248">
        <f t="shared" si="0"/>
        <v>440258.66</v>
      </c>
      <c r="G31" s="251"/>
      <c r="H31" s="250"/>
      <c r="I31" s="253"/>
      <c r="J31" s="253"/>
    </row>
    <row r="32" spans="1:10" x14ac:dyDescent="0.35">
      <c r="A32" s="246">
        <v>28</v>
      </c>
      <c r="B32" s="261" t="s">
        <v>29</v>
      </c>
      <c r="C32" s="248">
        <v>56546.8</v>
      </c>
      <c r="D32" s="248">
        <v>105758.98</v>
      </c>
      <c r="E32" s="248">
        <f t="shared" si="0"/>
        <v>162305.78</v>
      </c>
      <c r="G32" s="251"/>
      <c r="H32" s="250"/>
      <c r="I32" s="253"/>
      <c r="J32" s="253"/>
    </row>
    <row r="33" spans="1:10" x14ac:dyDescent="0.35">
      <c r="A33" s="246">
        <v>29</v>
      </c>
      <c r="B33" s="261" t="s">
        <v>30</v>
      </c>
      <c r="C33" s="248">
        <v>207945.06</v>
      </c>
      <c r="D33" s="248">
        <v>103893.6</v>
      </c>
      <c r="E33" s="248">
        <f t="shared" si="0"/>
        <v>311838.66000000003</v>
      </c>
      <c r="G33" s="251"/>
      <c r="H33" s="250"/>
      <c r="I33" s="253"/>
      <c r="J33" s="253"/>
    </row>
    <row r="34" spans="1:10" x14ac:dyDescent="0.35">
      <c r="A34" s="246">
        <v>30</v>
      </c>
      <c r="B34" s="261" t="s">
        <v>55</v>
      </c>
      <c r="C34" s="248">
        <v>2186983.69</v>
      </c>
      <c r="D34" s="248">
        <v>707122</v>
      </c>
      <c r="E34" s="248">
        <f t="shared" si="0"/>
        <v>2894105.69</v>
      </c>
      <c r="G34" s="251"/>
      <c r="H34" s="250"/>
      <c r="I34" s="253"/>
      <c r="J34" s="253"/>
    </row>
    <row r="35" spans="1:10" x14ac:dyDescent="0.35">
      <c r="A35" s="246">
        <v>31</v>
      </c>
      <c r="B35" s="261" t="s">
        <v>31</v>
      </c>
      <c r="C35" s="248">
        <v>284348.23</v>
      </c>
      <c r="D35" s="248">
        <v>45142.57</v>
      </c>
      <c r="E35" s="248">
        <f t="shared" si="0"/>
        <v>329490.8</v>
      </c>
      <c r="G35" s="251"/>
      <c r="H35" s="250"/>
      <c r="I35" s="253"/>
      <c r="J35" s="253"/>
    </row>
    <row r="36" spans="1:10" x14ac:dyDescent="0.35">
      <c r="A36" s="246">
        <v>32</v>
      </c>
      <c r="B36" s="261" t="s">
        <v>15</v>
      </c>
      <c r="C36" s="248">
        <v>90378.5</v>
      </c>
      <c r="D36" s="248">
        <v>60976.98</v>
      </c>
      <c r="E36" s="248">
        <f t="shared" si="0"/>
        <v>151355.48000000001</v>
      </c>
      <c r="G36" s="251"/>
      <c r="H36" s="250"/>
      <c r="I36" s="253"/>
      <c r="J36" s="253"/>
    </row>
    <row r="37" spans="1:10" x14ac:dyDescent="0.35">
      <c r="A37" s="246">
        <v>33</v>
      </c>
      <c r="B37" s="261" t="s">
        <v>56</v>
      </c>
      <c r="C37" s="248">
        <v>876414.86</v>
      </c>
      <c r="D37" s="248">
        <v>784236.75</v>
      </c>
      <c r="E37" s="248">
        <f t="shared" si="0"/>
        <v>1660651.6099999999</v>
      </c>
      <c r="G37" s="251"/>
      <c r="H37" s="250"/>
      <c r="I37" s="253"/>
      <c r="J37" s="253"/>
    </row>
    <row r="38" spans="1:10" x14ac:dyDescent="0.35">
      <c r="A38" s="246">
        <v>34</v>
      </c>
      <c r="B38" s="261" t="s">
        <v>57</v>
      </c>
      <c r="C38" s="248">
        <v>1536541.5999999999</v>
      </c>
      <c r="D38" s="248">
        <v>583703</v>
      </c>
      <c r="E38" s="248">
        <f t="shared" si="0"/>
        <v>2120244.5999999996</v>
      </c>
      <c r="G38" s="251"/>
      <c r="H38" s="250"/>
      <c r="I38" s="253"/>
      <c r="J38" s="253"/>
    </row>
    <row r="39" spans="1:10" x14ac:dyDescent="0.35">
      <c r="A39" s="246">
        <v>35</v>
      </c>
      <c r="B39" s="261" t="s">
        <v>16</v>
      </c>
      <c r="C39" s="248">
        <v>113747.66</v>
      </c>
      <c r="D39" s="248">
        <v>84279.24</v>
      </c>
      <c r="E39" s="248">
        <f t="shared" si="0"/>
        <v>198026.90000000002</v>
      </c>
      <c r="G39" s="251"/>
      <c r="H39" s="250"/>
      <c r="I39" s="253"/>
      <c r="J39" s="253"/>
    </row>
    <row r="40" spans="1:10" x14ac:dyDescent="0.35">
      <c r="A40" s="246">
        <v>36</v>
      </c>
      <c r="B40" s="261" t="s">
        <v>58</v>
      </c>
      <c r="C40" s="248">
        <v>3390864.82</v>
      </c>
      <c r="D40" s="248">
        <v>657983.55000000005</v>
      </c>
      <c r="E40" s="248">
        <f t="shared" si="0"/>
        <v>4048848.37</v>
      </c>
      <c r="G40" s="251"/>
      <c r="H40" s="250"/>
      <c r="I40" s="253"/>
      <c r="J40" s="253"/>
    </row>
    <row r="41" spans="1:10" x14ac:dyDescent="0.35">
      <c r="A41" s="246">
        <v>37</v>
      </c>
      <c r="B41" s="261" t="s">
        <v>59</v>
      </c>
      <c r="C41" s="248">
        <v>2903767</v>
      </c>
      <c r="D41" s="248">
        <v>1065945</v>
      </c>
      <c r="E41" s="248">
        <f t="shared" si="0"/>
        <v>3969712</v>
      </c>
      <c r="G41" s="251"/>
      <c r="H41" s="250"/>
      <c r="I41" s="253"/>
      <c r="J41" s="253"/>
    </row>
    <row r="42" spans="1:10" x14ac:dyDescent="0.35">
      <c r="A42" s="246">
        <v>38</v>
      </c>
      <c r="B42" s="261" t="s">
        <v>60</v>
      </c>
      <c r="C42" s="248">
        <v>887698.53</v>
      </c>
      <c r="D42" s="248">
        <v>238126.95</v>
      </c>
      <c r="E42" s="248">
        <f t="shared" si="0"/>
        <v>1125825.48</v>
      </c>
      <c r="G42" s="251"/>
      <c r="H42" s="250"/>
      <c r="I42" s="253"/>
      <c r="J42" s="253"/>
    </row>
    <row r="43" spans="1:10" x14ac:dyDescent="0.35">
      <c r="A43" s="246">
        <v>39</v>
      </c>
      <c r="B43" s="261" t="s">
        <v>45</v>
      </c>
      <c r="C43" s="248">
        <v>808632.82</v>
      </c>
      <c r="D43" s="248">
        <v>220972.19</v>
      </c>
      <c r="E43" s="248">
        <f t="shared" si="0"/>
        <v>1029605.01</v>
      </c>
      <c r="G43" s="251"/>
      <c r="H43" s="250"/>
      <c r="I43" s="253"/>
      <c r="J43" s="253"/>
    </row>
    <row r="44" spans="1:10" x14ac:dyDescent="0.35">
      <c r="A44" s="246">
        <v>40</v>
      </c>
      <c r="B44" s="261" t="s">
        <v>32</v>
      </c>
      <c r="C44" s="248">
        <v>152163.68</v>
      </c>
      <c r="D44" s="248">
        <v>87154.21</v>
      </c>
      <c r="E44" s="248">
        <f t="shared" si="0"/>
        <v>239317.89</v>
      </c>
      <c r="G44" s="251"/>
      <c r="H44" s="250"/>
      <c r="I44" s="253"/>
      <c r="J44" s="253"/>
    </row>
    <row r="45" spans="1:10" x14ac:dyDescent="0.35">
      <c r="A45" s="246">
        <v>41</v>
      </c>
      <c r="B45" s="261" t="s">
        <v>46</v>
      </c>
      <c r="C45" s="248">
        <v>436935.95</v>
      </c>
      <c r="D45" s="248">
        <v>271194.58</v>
      </c>
      <c r="E45" s="248">
        <f t="shared" si="0"/>
        <v>708130.53</v>
      </c>
      <c r="G45" s="251"/>
      <c r="H45" s="250"/>
      <c r="I45" s="253"/>
      <c r="J45" s="253"/>
    </row>
    <row r="46" spans="1:10" x14ac:dyDescent="0.35">
      <c r="A46" s="246">
        <v>42</v>
      </c>
      <c r="B46" s="261" t="s">
        <v>47</v>
      </c>
      <c r="C46" s="248">
        <v>568231.57999999996</v>
      </c>
      <c r="D46" s="248">
        <v>142292.81</v>
      </c>
      <c r="E46" s="248">
        <f t="shared" si="0"/>
        <v>710524.3899999999</v>
      </c>
      <c r="G46" s="251"/>
      <c r="H46" s="250"/>
      <c r="I46" s="253"/>
      <c r="J46" s="253"/>
    </row>
    <row r="47" spans="1:10" x14ac:dyDescent="0.35">
      <c r="A47" s="246">
        <v>43</v>
      </c>
      <c r="B47" s="261" t="s">
        <v>61</v>
      </c>
      <c r="C47" s="248">
        <v>1298281.96</v>
      </c>
      <c r="D47" s="248">
        <v>426274.54</v>
      </c>
      <c r="E47" s="248">
        <f t="shared" si="0"/>
        <v>1724556.5</v>
      </c>
      <c r="G47" s="251"/>
      <c r="H47" s="250"/>
      <c r="I47" s="253"/>
      <c r="J47" s="253"/>
    </row>
    <row r="48" spans="1:10" x14ac:dyDescent="0.35">
      <c r="A48" s="246">
        <v>44</v>
      </c>
      <c r="B48" s="261" t="s">
        <v>33</v>
      </c>
      <c r="C48" s="248">
        <v>184356.09</v>
      </c>
      <c r="D48" s="248">
        <v>131706.39000000001</v>
      </c>
      <c r="E48" s="248">
        <f t="shared" si="0"/>
        <v>316062.48</v>
      </c>
      <c r="G48" s="251"/>
      <c r="H48" s="250"/>
      <c r="I48" s="253"/>
      <c r="J48" s="253"/>
    </row>
    <row r="49" spans="1:10" x14ac:dyDescent="0.35">
      <c r="A49" s="246">
        <v>45</v>
      </c>
      <c r="B49" s="261" t="s">
        <v>34</v>
      </c>
      <c r="C49" s="248">
        <v>307586.58</v>
      </c>
      <c r="D49" s="248">
        <v>175300.38</v>
      </c>
      <c r="E49" s="248">
        <f t="shared" si="0"/>
        <v>482886.96</v>
      </c>
      <c r="G49" s="251"/>
      <c r="H49" s="250"/>
      <c r="I49" s="253"/>
      <c r="J49" s="253"/>
    </row>
    <row r="50" spans="1:10" x14ac:dyDescent="0.35">
      <c r="A50" s="246">
        <v>46</v>
      </c>
      <c r="B50" s="261" t="s">
        <v>17</v>
      </c>
      <c r="C50" s="248">
        <v>0</v>
      </c>
      <c r="D50" s="248">
        <v>0</v>
      </c>
      <c r="E50" s="248">
        <f t="shared" si="0"/>
        <v>0</v>
      </c>
      <c r="G50" s="250"/>
      <c r="H50" s="250"/>
    </row>
    <row r="51" spans="1:10" x14ac:dyDescent="0.35">
      <c r="A51" s="246">
        <v>47</v>
      </c>
      <c r="B51" s="261" t="s">
        <v>35</v>
      </c>
      <c r="C51" s="248">
        <v>47040.65</v>
      </c>
      <c r="D51" s="248">
        <v>107158.27</v>
      </c>
      <c r="E51" s="248">
        <f t="shared" si="0"/>
        <v>154198.92000000001</v>
      </c>
      <c r="G51" s="250"/>
      <c r="H51" s="250"/>
      <c r="I51" s="253"/>
      <c r="J51" s="253"/>
    </row>
    <row r="52" spans="1:10" x14ac:dyDescent="0.35">
      <c r="A52" s="246">
        <v>48</v>
      </c>
      <c r="B52" s="261" t="s">
        <v>48</v>
      </c>
      <c r="C52" s="248">
        <v>544990.68000000005</v>
      </c>
      <c r="D52" s="248">
        <v>160859.6</v>
      </c>
      <c r="E52" s="248">
        <f t="shared" si="0"/>
        <v>705850.28</v>
      </c>
      <c r="G52" s="250"/>
      <c r="H52" s="250"/>
      <c r="I52" s="253"/>
      <c r="J52" s="253"/>
    </row>
    <row r="53" spans="1:10" x14ac:dyDescent="0.35">
      <c r="A53" s="246">
        <v>49</v>
      </c>
      <c r="B53" s="261" t="s">
        <v>49</v>
      </c>
      <c r="C53" s="248">
        <v>312685.37</v>
      </c>
      <c r="D53" s="248">
        <v>164858.32</v>
      </c>
      <c r="E53" s="248">
        <f t="shared" si="0"/>
        <v>477543.69</v>
      </c>
      <c r="G53" s="250"/>
      <c r="H53" s="250"/>
      <c r="I53" s="253"/>
      <c r="J53" s="253"/>
    </row>
    <row r="54" spans="1:10" x14ac:dyDescent="0.35">
      <c r="A54" s="246">
        <v>50</v>
      </c>
      <c r="B54" s="261" t="s">
        <v>50</v>
      </c>
      <c r="C54" s="248">
        <v>916021.44</v>
      </c>
      <c r="D54" s="248">
        <v>313859.86</v>
      </c>
      <c r="E54" s="248">
        <f t="shared" si="0"/>
        <v>1229881.2999999998</v>
      </c>
      <c r="G54" s="250"/>
      <c r="H54" s="250"/>
      <c r="I54" s="253"/>
      <c r="J54" s="253"/>
    </row>
    <row r="55" spans="1:10" x14ac:dyDescent="0.35">
      <c r="A55" s="246">
        <v>51</v>
      </c>
      <c r="B55" s="261" t="s">
        <v>36</v>
      </c>
      <c r="C55" s="248">
        <v>163660.57</v>
      </c>
      <c r="D55" s="248">
        <v>79712.38</v>
      </c>
      <c r="E55" s="248">
        <f t="shared" si="0"/>
        <v>243372.95</v>
      </c>
      <c r="G55" s="250"/>
      <c r="H55" s="250"/>
      <c r="I55" s="253"/>
      <c r="J55" s="253"/>
    </row>
    <row r="56" spans="1:10" x14ac:dyDescent="0.35">
      <c r="A56" s="246">
        <v>52</v>
      </c>
      <c r="B56" s="261" t="s">
        <v>37</v>
      </c>
      <c r="C56" s="248">
        <v>0</v>
      </c>
      <c r="D56" s="248">
        <v>31224.639999999999</v>
      </c>
      <c r="E56" s="248">
        <f t="shared" si="0"/>
        <v>31224.639999999999</v>
      </c>
      <c r="G56" s="250"/>
      <c r="H56" s="250"/>
      <c r="I56" s="253"/>
      <c r="J56" s="253"/>
    </row>
    <row r="57" spans="1:10" x14ac:dyDescent="0.35">
      <c r="A57" s="246">
        <v>53</v>
      </c>
      <c r="B57" s="261" t="s">
        <v>18</v>
      </c>
      <c r="C57" s="248">
        <v>0</v>
      </c>
      <c r="D57" s="248">
        <v>0</v>
      </c>
      <c r="E57" s="248">
        <f t="shared" si="0"/>
        <v>0</v>
      </c>
      <c r="G57" s="250"/>
      <c r="H57" s="250"/>
    </row>
    <row r="58" spans="1:10" x14ac:dyDescent="0.35">
      <c r="A58" s="246">
        <v>54</v>
      </c>
      <c r="B58" s="261" t="s">
        <v>51</v>
      </c>
      <c r="C58" s="248">
        <v>495164.47</v>
      </c>
      <c r="D58" s="248">
        <v>379045</v>
      </c>
      <c r="E58" s="248">
        <f t="shared" si="0"/>
        <v>874209.47</v>
      </c>
      <c r="G58" s="250"/>
      <c r="H58" s="250"/>
      <c r="I58" s="253"/>
      <c r="J58" s="253"/>
    </row>
    <row r="59" spans="1:10" x14ac:dyDescent="0.35">
      <c r="A59" s="246">
        <v>55</v>
      </c>
      <c r="B59" s="261" t="s">
        <v>38</v>
      </c>
      <c r="C59" s="248">
        <v>196549.58</v>
      </c>
      <c r="D59" s="248">
        <v>76267.37</v>
      </c>
      <c r="E59" s="248">
        <f t="shared" si="0"/>
        <v>272816.94999999995</v>
      </c>
      <c r="G59" s="250"/>
      <c r="H59" s="250"/>
      <c r="I59" s="253"/>
      <c r="J59" s="253"/>
    </row>
    <row r="60" spans="1:10" x14ac:dyDescent="0.35">
      <c r="A60" s="246">
        <v>56</v>
      </c>
      <c r="B60" s="261" t="s">
        <v>52</v>
      </c>
      <c r="C60" s="248">
        <v>298417.37</v>
      </c>
      <c r="D60" s="248">
        <v>344245.72</v>
      </c>
      <c r="E60" s="248">
        <f t="shared" si="0"/>
        <v>642663.09</v>
      </c>
      <c r="G60" s="250"/>
      <c r="H60" s="250"/>
      <c r="I60" s="253"/>
      <c r="J60" s="253"/>
    </row>
    <row r="61" spans="1:10" x14ac:dyDescent="0.35">
      <c r="A61" s="246">
        <v>57</v>
      </c>
      <c r="B61" s="261" t="s">
        <v>39</v>
      </c>
      <c r="C61" s="248">
        <v>191969.09</v>
      </c>
      <c r="D61" s="248">
        <v>124144.98999999999</v>
      </c>
      <c r="E61" s="248">
        <f t="shared" si="0"/>
        <v>316114.07999999996</v>
      </c>
      <c r="G61" s="250"/>
      <c r="H61" s="250"/>
      <c r="I61" s="253"/>
      <c r="J61" s="253"/>
    </row>
    <row r="62" spans="1:10" x14ac:dyDescent="0.35">
      <c r="A62" s="246">
        <v>58</v>
      </c>
      <c r="B62" s="261" t="s">
        <v>40</v>
      </c>
      <c r="C62" s="248">
        <v>154538.75</v>
      </c>
      <c r="D62" s="248">
        <v>43702.13</v>
      </c>
      <c r="E62" s="248">
        <f t="shared" si="0"/>
        <v>198240.88</v>
      </c>
      <c r="G62" s="250"/>
      <c r="H62" s="250"/>
      <c r="I62" s="253"/>
      <c r="J62" s="253"/>
    </row>
    <row r="63" spans="1:10" x14ac:dyDescent="0.35">
      <c r="A63" s="246"/>
      <c r="B63" s="276" t="s">
        <v>211</v>
      </c>
      <c r="C63" s="88">
        <f>SUM(C5:C62)</f>
        <v>35723848.609999999</v>
      </c>
      <c r="D63" s="88">
        <f>SUM(D5:D62)</f>
        <v>12754549.460000001</v>
      </c>
      <c r="E63" s="88">
        <f>SUM(E5:E62)</f>
        <v>48478398.07</v>
      </c>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pageSetUpPr fitToPage="1"/>
  </sheetPr>
  <dimension ref="A1:V73"/>
  <sheetViews>
    <sheetView zoomScaleNormal="100" workbookViewId="0">
      <pane xSplit="2" ySplit="6" topLeftCell="C7" activePane="bottomRight" state="frozen"/>
      <selection pane="topRight" activeCell="C1" sqref="C1"/>
      <selection pane="bottomLeft" activeCell="A7" sqref="A7"/>
      <selection pane="bottomRight" activeCell="E7" sqref="E7"/>
    </sheetView>
  </sheetViews>
  <sheetFormatPr defaultColWidth="9.1796875" defaultRowHeight="14.5" x14ac:dyDescent="0.35"/>
  <cols>
    <col min="1" max="1" width="8.453125" style="52" customWidth="1"/>
    <col min="2" max="2" width="13.81640625" style="52" bestFit="1" customWidth="1"/>
    <col min="3" max="3" width="1.81640625" style="52" customWidth="1"/>
    <col min="4" max="4" width="14.1796875" style="52" bestFit="1" customWidth="1"/>
    <col min="5" max="5" width="10" style="56" bestFit="1" customWidth="1"/>
    <col min="6" max="6" width="14.81640625" style="167" bestFit="1" customWidth="1"/>
    <col min="7" max="7" width="1.81640625" style="52" customWidth="1"/>
    <col min="8" max="8" width="12.1796875" style="167" bestFit="1" customWidth="1"/>
    <col min="9" max="9" width="9.1796875" style="167" customWidth="1"/>
    <col min="10" max="11" width="12.54296875" style="52" bestFit="1" customWidth="1"/>
    <col min="12" max="12" width="1.81640625" style="52" customWidth="1"/>
    <col min="13" max="13" width="13" style="167" customWidth="1"/>
    <col min="14" max="15" width="10.81640625" style="52" hidden="1" customWidth="1"/>
    <col min="16" max="16" width="12.81640625" style="52" hidden="1" customWidth="1"/>
    <col min="17" max="17" width="14" style="52" hidden="1" customWidth="1"/>
    <col min="18" max="18" width="9" style="52" hidden="1" customWidth="1"/>
    <col min="19" max="19" width="12.1796875" style="52" hidden="1" customWidth="1"/>
    <col min="20" max="20" width="13.453125" style="52" hidden="1" customWidth="1"/>
    <col min="21" max="16384" width="9.1796875" style="52"/>
  </cols>
  <sheetData>
    <row r="1" spans="1:20" ht="23.9" customHeight="1" x14ac:dyDescent="0.35">
      <c r="A1" s="161" t="s">
        <v>186</v>
      </c>
      <c r="C1" s="50"/>
      <c r="G1" s="50"/>
      <c r="L1" s="50"/>
    </row>
    <row r="2" spans="1:20" ht="16.5" customHeight="1" x14ac:dyDescent="0.35">
      <c r="A2" s="169" t="s">
        <v>204</v>
      </c>
      <c r="C2" s="50"/>
      <c r="G2" s="50"/>
      <c r="L2" s="50"/>
    </row>
    <row r="3" spans="1:20" ht="16.5" customHeight="1" x14ac:dyDescent="0.35">
      <c r="C3" s="50"/>
      <c r="G3" s="50"/>
      <c r="L3" s="50"/>
    </row>
    <row r="4" spans="1:20" ht="16.5" customHeight="1" x14ac:dyDescent="0.35">
      <c r="A4" s="329"/>
      <c r="B4" s="329"/>
      <c r="C4" s="80"/>
      <c r="D4" s="329"/>
      <c r="E4" s="329"/>
      <c r="G4" s="80"/>
      <c r="H4" s="303" t="s">
        <v>96</v>
      </c>
      <c r="I4" s="304"/>
      <c r="J4" s="304"/>
      <c r="K4" s="304"/>
      <c r="L4" s="80"/>
      <c r="N4" s="333"/>
      <c r="O4" s="333"/>
      <c r="P4" s="333"/>
      <c r="Q4" s="333"/>
      <c r="R4" s="333"/>
      <c r="S4" s="333"/>
      <c r="T4" s="172"/>
    </row>
    <row r="5" spans="1:20" ht="67.400000000000006" customHeight="1" x14ac:dyDescent="0.35">
      <c r="A5" s="330" t="s">
        <v>68</v>
      </c>
      <c r="B5" s="331" t="s">
        <v>63</v>
      </c>
      <c r="C5" s="80"/>
      <c r="D5" s="9" t="s">
        <v>184</v>
      </c>
      <c r="E5" s="10" t="s">
        <v>97</v>
      </c>
      <c r="F5" s="10" t="s">
        <v>187</v>
      </c>
      <c r="G5" s="80"/>
      <c r="H5" s="73" t="s">
        <v>75</v>
      </c>
      <c r="I5" s="73" t="s">
        <v>188</v>
      </c>
      <c r="J5" s="73" t="s">
        <v>192</v>
      </c>
      <c r="K5" s="73" t="s">
        <v>189</v>
      </c>
      <c r="L5" s="80"/>
      <c r="M5" s="72" t="s">
        <v>191</v>
      </c>
      <c r="N5" s="171" t="s">
        <v>78</v>
      </c>
      <c r="O5" s="171" t="s">
        <v>79</v>
      </c>
      <c r="P5" s="173" t="s">
        <v>107</v>
      </c>
      <c r="Q5" s="173" t="s">
        <v>94</v>
      </c>
      <c r="R5" s="173" t="s">
        <v>82</v>
      </c>
      <c r="S5" s="171" t="s">
        <v>95</v>
      </c>
      <c r="T5" s="171" t="s">
        <v>99</v>
      </c>
    </row>
    <row r="6" spans="1:20" x14ac:dyDescent="0.35">
      <c r="A6" s="330"/>
      <c r="B6" s="331"/>
      <c r="C6" s="80"/>
      <c r="D6" s="77" t="s">
        <v>65</v>
      </c>
      <c r="E6" s="77" t="s">
        <v>1</v>
      </c>
      <c r="F6" s="77" t="s">
        <v>66</v>
      </c>
      <c r="G6" s="80"/>
      <c r="H6" s="77" t="s">
        <v>2</v>
      </c>
      <c r="I6" s="77" t="s">
        <v>3</v>
      </c>
      <c r="J6" s="77" t="s">
        <v>83</v>
      </c>
      <c r="K6" s="77" t="s">
        <v>110</v>
      </c>
      <c r="L6" s="80"/>
      <c r="M6" s="77" t="s">
        <v>84</v>
      </c>
      <c r="N6" s="171"/>
      <c r="O6" s="171"/>
      <c r="P6" s="173"/>
      <c r="Q6" s="173"/>
      <c r="R6" s="173"/>
      <c r="S6" s="171"/>
      <c r="T6" s="171"/>
    </row>
    <row r="7" spans="1:20" ht="16.5" customHeight="1" x14ac:dyDescent="0.35">
      <c r="A7" s="64">
        <v>4</v>
      </c>
      <c r="B7" s="65" t="s">
        <v>53</v>
      </c>
      <c r="C7" s="81"/>
      <c r="D7" s="186">
        <f>VLOOKUP(B7,'WF Need'!$B$7:$AB$64,27, FALSE)</f>
        <v>89736951.376818791</v>
      </c>
      <c r="E7" s="91">
        <f>D7/$D$65</f>
        <v>3.3745825907623331E-2</v>
      </c>
      <c r="F7" s="244" t="e">
        <f>#REF!</f>
        <v>#REF!</v>
      </c>
      <c r="G7" s="81"/>
      <c r="H7" s="187" t="e">
        <f>IF(F7&lt;Floors!$E$4,Floors!$E$4, "-")</f>
        <v>#REF!</v>
      </c>
      <c r="I7" s="64" t="e">
        <f>IF(H7=800000,"Y","N")</f>
        <v>#REF!</v>
      </c>
      <c r="J7" s="184" t="e">
        <f>IF(I7="Y",VLOOKUP(B7,#REF!,2,FALSE)*1.1,"N/A ")</f>
        <v>#REF!</v>
      </c>
      <c r="K7" s="184" t="e">
        <f t="shared" ref="K7:K64" si="0">IF(I7="Y",F7, "N/A ")</f>
        <v>#REF!</v>
      </c>
      <c r="L7" s="81"/>
      <c r="M7" s="184" t="e">
        <f>IF(I7="Y",IF(H7=750000,750000,O7),"N/A")</f>
        <v>#REF!</v>
      </c>
      <c r="N7" s="174" t="e">
        <f t="shared" ref="N7:N64" si="1">IF(J7&lt;H7,J7,H7)</f>
        <v>#REF!</v>
      </c>
      <c r="O7" s="172" t="e">
        <f t="shared" ref="O7:O64" si="2">IF(K7&gt;N7,K7,N7)</f>
        <v>#REF!</v>
      </c>
      <c r="P7" s="174" t="e">
        <f>IF(M7="n/a",(IF(AND(H7=750000,(F7&gt;750000)), H7-F7, 0)),M7-F7)</f>
        <v>#REF!</v>
      </c>
      <c r="Q7" s="174" t="e">
        <f>IF(AND(P7=0,I7="N"),F7,0)</f>
        <v>#REF!</v>
      </c>
      <c r="R7" s="175" t="e">
        <f>Q7/$Q$65</f>
        <v>#REF!</v>
      </c>
      <c r="S7" s="174" t="e">
        <f>IF(P7=0,-R7*$P$65,0)</f>
        <v>#REF!</v>
      </c>
      <c r="T7" s="174" t="e">
        <f>IF(P7=0,-R7*$P$65,P7)</f>
        <v>#REF!</v>
      </c>
    </row>
    <row r="8" spans="1:20" ht="16.5" customHeight="1" x14ac:dyDescent="0.35">
      <c r="A8" s="64">
        <v>1</v>
      </c>
      <c r="B8" s="65" t="s">
        <v>4</v>
      </c>
      <c r="C8" s="80"/>
      <c r="D8" s="181">
        <f>VLOOKUP(B8,'WF Need'!$B$7:$AB$64,27, FALSE)</f>
        <v>513054.3128889731</v>
      </c>
      <c r="E8" s="91">
        <f t="shared" ref="E8:E64" si="3">D8/$D$65</f>
        <v>1.929354770612262E-4</v>
      </c>
      <c r="F8" s="8" t="e">
        <f>#REF!</f>
        <v>#REF!</v>
      </c>
      <c r="G8" s="80"/>
      <c r="H8" s="187" t="e">
        <f>IF(F8&lt;Floors!$E$4,Floors!$E$4, "-")</f>
        <v>#REF!</v>
      </c>
      <c r="I8" s="64" t="e">
        <f t="shared" ref="I8:I64" si="4">IF(H8=800000,"Y","N")</f>
        <v>#REF!</v>
      </c>
      <c r="J8" s="184" t="e">
        <f>IF(I8="Y",VLOOKUP(B8,#REF!,2,FALSE)*1.1,"N/A ")</f>
        <v>#REF!</v>
      </c>
      <c r="K8" s="184" t="e">
        <f>IF(I8="Y",F8, "N/A ")</f>
        <v>#REF!</v>
      </c>
      <c r="L8" s="80"/>
      <c r="M8" s="184" t="e">
        <f t="shared" ref="M8:M64" si="5">IF(I8="Y",IF(H8=750000,750000,O8),"N/A")</f>
        <v>#REF!</v>
      </c>
      <c r="N8" s="174" t="e">
        <f>IF(J8&lt;H8,J8,H8)</f>
        <v>#REF!</v>
      </c>
      <c r="O8" s="172" t="e">
        <f>IF(K8&gt;N8,K8,N8)</f>
        <v>#REF!</v>
      </c>
      <c r="P8" s="174" t="e">
        <f>IF(M8="n/a",(IF(AND(H8=750000,(F8&gt;750000)), H8-F8, 0)),M8-F8)</f>
        <v>#REF!</v>
      </c>
      <c r="Q8" s="174" t="e">
        <f t="shared" ref="Q8:Q64" si="6">IF(AND(P8=0,I8="N"),F8,0)</f>
        <v>#REF!</v>
      </c>
      <c r="R8" s="175" t="e">
        <f>Q8/$Q$65</f>
        <v>#REF!</v>
      </c>
      <c r="S8" s="174" t="e">
        <f>IF(P8=0,-R8*$P$65,0)</f>
        <v>#REF!</v>
      </c>
      <c r="T8" s="174" t="e">
        <f>IF(P8=0,-R8*$P$65,P8)</f>
        <v>#REF!</v>
      </c>
    </row>
    <row r="9" spans="1:20" ht="16.5" customHeight="1" x14ac:dyDescent="0.35">
      <c r="A9" s="64">
        <v>1</v>
      </c>
      <c r="B9" s="65" t="s">
        <v>5</v>
      </c>
      <c r="D9" s="181">
        <f>VLOOKUP(B9,'WF Need'!$B$7:$AB$64,27, FALSE)</f>
        <v>4318193.9837225312</v>
      </c>
      <c r="E9" s="91">
        <f t="shared" si="3"/>
        <v>1.6238686535955825E-3</v>
      </c>
      <c r="F9" s="8" t="e">
        <f>#REF!</f>
        <v>#REF!</v>
      </c>
      <c r="H9" s="187" t="e">
        <f>IF(F9&lt;Floors!$E$4,Floors!$E$4, "-")</f>
        <v>#REF!</v>
      </c>
      <c r="I9" s="64" t="e">
        <f t="shared" si="4"/>
        <v>#REF!</v>
      </c>
      <c r="J9" s="184" t="e">
        <f>IF(I9="Y",VLOOKUP(B9,#REF!,2,FALSE)*1.1,"N/A ")</f>
        <v>#REF!</v>
      </c>
      <c r="K9" s="184" t="e">
        <f t="shared" si="0"/>
        <v>#REF!</v>
      </c>
      <c r="M9" s="184" t="e">
        <f t="shared" si="5"/>
        <v>#REF!</v>
      </c>
      <c r="N9" s="174" t="e">
        <f t="shared" si="1"/>
        <v>#REF!</v>
      </c>
      <c r="O9" s="172" t="e">
        <f t="shared" si="2"/>
        <v>#REF!</v>
      </c>
      <c r="P9" s="174" t="e">
        <f t="shared" ref="P9:P27" si="7">IF(M9="n/a",(IF(AND(H9=750000,(F9&gt;750000)), H9-F9, 0)),M9-F9)</f>
        <v>#REF!</v>
      </c>
      <c r="Q9" s="174" t="e">
        <f t="shared" si="6"/>
        <v>#REF!</v>
      </c>
      <c r="R9" s="175" t="e">
        <f t="shared" ref="R9:R64" si="8">Q9/$Q$65</f>
        <v>#REF!</v>
      </c>
      <c r="S9" s="174" t="e">
        <f t="shared" ref="S9:S64" si="9">IF(P9=0,-R9*$P$65,0)</f>
        <v>#REF!</v>
      </c>
      <c r="T9" s="174" t="e">
        <f t="shared" ref="T9:T64" si="10">IF(P9=0,-R9*$P$65,P9)</f>
        <v>#REF!</v>
      </c>
    </row>
    <row r="10" spans="1:20" ht="16.5" customHeight="1" x14ac:dyDescent="0.35">
      <c r="A10" s="64">
        <v>2</v>
      </c>
      <c r="B10" s="65" t="s">
        <v>19</v>
      </c>
      <c r="D10" s="181">
        <f>VLOOKUP(B10,'WF Need'!$B$7:$AB$64,27, FALSE)</f>
        <v>15020326.101351636</v>
      </c>
      <c r="E10" s="91">
        <f t="shared" si="3"/>
        <v>5.6484346962435419E-3</v>
      </c>
      <c r="F10" s="8" t="e">
        <f>#REF!</f>
        <v>#REF!</v>
      </c>
      <c r="H10" s="187" t="e">
        <f>IF(F10&lt;Floors!$E$4,Floors!$E$4, "-")</f>
        <v>#REF!</v>
      </c>
      <c r="I10" s="64" t="e">
        <f t="shared" si="4"/>
        <v>#REF!</v>
      </c>
      <c r="J10" s="184" t="e">
        <f>IF(I10="Y",VLOOKUP(B10,#REF!,2,FALSE)*1.1,"N/A ")</f>
        <v>#REF!</v>
      </c>
      <c r="K10" s="184" t="e">
        <f t="shared" si="0"/>
        <v>#REF!</v>
      </c>
      <c r="M10" s="184" t="e">
        <f t="shared" si="5"/>
        <v>#REF!</v>
      </c>
      <c r="N10" s="174" t="e">
        <f t="shared" si="1"/>
        <v>#REF!</v>
      </c>
      <c r="O10" s="172" t="e">
        <f t="shared" si="2"/>
        <v>#REF!</v>
      </c>
      <c r="P10" s="174" t="e">
        <f t="shared" si="7"/>
        <v>#REF!</v>
      </c>
      <c r="Q10" s="174" t="e">
        <f t="shared" si="6"/>
        <v>#REF!</v>
      </c>
      <c r="R10" s="175" t="e">
        <f t="shared" si="8"/>
        <v>#REF!</v>
      </c>
      <c r="S10" s="174" t="e">
        <f t="shared" si="9"/>
        <v>#REF!</v>
      </c>
      <c r="T10" s="174" t="e">
        <f t="shared" si="10"/>
        <v>#REF!</v>
      </c>
    </row>
    <row r="11" spans="1:20" ht="16.5" customHeight="1" x14ac:dyDescent="0.35">
      <c r="A11" s="64">
        <v>1</v>
      </c>
      <c r="B11" s="65" t="s">
        <v>6</v>
      </c>
      <c r="D11" s="181">
        <f>VLOOKUP(B11,'WF Need'!$B$7:$AB$64,27, FALSE)</f>
        <v>3434243.6309455801</v>
      </c>
      <c r="E11" s="91">
        <f t="shared" si="3"/>
        <v>1.291456706698321E-3</v>
      </c>
      <c r="F11" s="8" t="e">
        <f>#REF!</f>
        <v>#REF!</v>
      </c>
      <c r="H11" s="187" t="e">
        <f>IF(F11&lt;Floors!$E$4,Floors!$E$4, "-")</f>
        <v>#REF!</v>
      </c>
      <c r="I11" s="64" t="e">
        <f t="shared" si="4"/>
        <v>#REF!</v>
      </c>
      <c r="J11" s="184" t="e">
        <f>IF(I11="Y",VLOOKUP(B11,#REF!,2,FALSE)*1.1,"N/A ")</f>
        <v>#REF!</v>
      </c>
      <c r="K11" s="184" t="e">
        <f t="shared" si="0"/>
        <v>#REF!</v>
      </c>
      <c r="M11" s="184" t="e">
        <f t="shared" si="5"/>
        <v>#REF!</v>
      </c>
      <c r="N11" s="174" t="e">
        <f t="shared" si="1"/>
        <v>#REF!</v>
      </c>
      <c r="O11" s="172" t="e">
        <f t="shared" si="2"/>
        <v>#REF!</v>
      </c>
      <c r="P11" s="174" t="e">
        <f t="shared" si="7"/>
        <v>#REF!</v>
      </c>
      <c r="Q11" s="174" t="e">
        <f t="shared" si="6"/>
        <v>#REF!</v>
      </c>
      <c r="R11" s="175" t="e">
        <f t="shared" si="8"/>
        <v>#REF!</v>
      </c>
      <c r="S11" s="174" t="e">
        <f t="shared" si="9"/>
        <v>#REF!</v>
      </c>
      <c r="T11" s="174" t="e">
        <f t="shared" si="10"/>
        <v>#REF!</v>
      </c>
    </row>
    <row r="12" spans="1:20" ht="16.5" customHeight="1" x14ac:dyDescent="0.35">
      <c r="A12" s="64">
        <v>1</v>
      </c>
      <c r="B12" s="65" t="s">
        <v>7</v>
      </c>
      <c r="C12" s="82"/>
      <c r="D12" s="181">
        <f>VLOOKUP(B12,'WF Need'!$B$7:$AB$64,27, FALSE)</f>
        <v>2635566.7608938734</v>
      </c>
      <c r="E12" s="91">
        <f t="shared" si="3"/>
        <v>9.9111208611905822E-4</v>
      </c>
      <c r="F12" s="8" t="e">
        <f>#REF!</f>
        <v>#REF!</v>
      </c>
      <c r="G12" s="82"/>
      <c r="H12" s="187" t="e">
        <f>IF(F12&lt;Floors!$E$4,Floors!$E$4, "-")</f>
        <v>#REF!</v>
      </c>
      <c r="I12" s="64" t="e">
        <f t="shared" si="4"/>
        <v>#REF!</v>
      </c>
      <c r="J12" s="184" t="e">
        <f>IF(I12="Y",VLOOKUP(B12,#REF!,2,FALSE)*1.1,"N/A ")</f>
        <v>#REF!</v>
      </c>
      <c r="K12" s="184" t="e">
        <f t="shared" si="0"/>
        <v>#REF!</v>
      </c>
      <c r="L12" s="82"/>
      <c r="M12" s="184" t="e">
        <f t="shared" si="5"/>
        <v>#REF!</v>
      </c>
      <c r="N12" s="174" t="e">
        <f t="shared" si="1"/>
        <v>#REF!</v>
      </c>
      <c r="O12" s="172" t="e">
        <f>IF(K12&gt;N12,K12,N12)</f>
        <v>#REF!</v>
      </c>
      <c r="P12" s="174" t="e">
        <f t="shared" si="7"/>
        <v>#REF!</v>
      </c>
      <c r="Q12" s="174" t="e">
        <f t="shared" si="6"/>
        <v>#REF!</v>
      </c>
      <c r="R12" s="175" t="e">
        <f t="shared" si="8"/>
        <v>#REF!</v>
      </c>
      <c r="S12" s="174" t="e">
        <f t="shared" si="9"/>
        <v>#REF!</v>
      </c>
      <c r="T12" s="174" t="e">
        <f t="shared" si="10"/>
        <v>#REF!</v>
      </c>
    </row>
    <row r="13" spans="1:20" ht="16.5" customHeight="1" x14ac:dyDescent="0.35">
      <c r="A13" s="64">
        <v>3</v>
      </c>
      <c r="B13" s="65" t="s">
        <v>41</v>
      </c>
      <c r="D13" s="181">
        <f>VLOOKUP(B13,'WF Need'!$B$7:$AB$64,27, FALSE)</f>
        <v>58792179.70932214</v>
      </c>
      <c r="E13" s="91">
        <f t="shared" si="3"/>
        <v>2.2108959918522506E-2</v>
      </c>
      <c r="F13" s="8" t="e">
        <f>#REF!</f>
        <v>#REF!</v>
      </c>
      <c r="H13" s="187" t="e">
        <f>IF(F13&lt;Floors!$E$4,Floors!$E$4, "-")</f>
        <v>#REF!</v>
      </c>
      <c r="I13" s="64" t="e">
        <f t="shared" si="4"/>
        <v>#REF!</v>
      </c>
      <c r="J13" s="184" t="e">
        <f>IF(I13="Y",VLOOKUP(B13,#REF!,2,FALSE)*1.1,"N/A ")</f>
        <v>#REF!</v>
      </c>
      <c r="K13" s="184" t="e">
        <f t="shared" si="0"/>
        <v>#REF!</v>
      </c>
      <c r="M13" s="184" t="e">
        <f t="shared" si="5"/>
        <v>#REF!</v>
      </c>
      <c r="N13" s="174" t="e">
        <f t="shared" si="1"/>
        <v>#REF!</v>
      </c>
      <c r="O13" s="172" t="e">
        <f t="shared" si="2"/>
        <v>#REF!</v>
      </c>
      <c r="P13" s="174" t="e">
        <f t="shared" si="7"/>
        <v>#REF!</v>
      </c>
      <c r="Q13" s="174" t="e">
        <f t="shared" si="6"/>
        <v>#REF!</v>
      </c>
      <c r="R13" s="175" t="e">
        <f t="shared" si="8"/>
        <v>#REF!</v>
      </c>
      <c r="S13" s="174" t="e">
        <f t="shared" si="9"/>
        <v>#REF!</v>
      </c>
      <c r="T13" s="174" t="e">
        <f t="shared" si="10"/>
        <v>#REF!</v>
      </c>
    </row>
    <row r="14" spans="1:20" ht="16.5" customHeight="1" x14ac:dyDescent="0.35">
      <c r="A14" s="64">
        <v>1</v>
      </c>
      <c r="B14" s="65" t="s">
        <v>8</v>
      </c>
      <c r="D14" s="181">
        <f>VLOOKUP(B14,'WF Need'!$B$7:$AB$64,27, FALSE)</f>
        <v>3822120.7056279005</v>
      </c>
      <c r="E14" s="91">
        <f t="shared" si="3"/>
        <v>1.4373189410952104E-3</v>
      </c>
      <c r="F14" s="8" t="e">
        <f>#REF!</f>
        <v>#REF!</v>
      </c>
      <c r="H14" s="187" t="e">
        <f>IF(F14&lt;Floors!$E$4,Floors!$E$4, "-")</f>
        <v>#REF!</v>
      </c>
      <c r="I14" s="64" t="e">
        <f t="shared" si="4"/>
        <v>#REF!</v>
      </c>
      <c r="J14" s="184" t="e">
        <f>IF(I14="Y",VLOOKUP(B14,#REF!,2,FALSE)*1.1,"N/A ")</f>
        <v>#REF!</v>
      </c>
      <c r="K14" s="184" t="e">
        <f t="shared" si="0"/>
        <v>#REF!</v>
      </c>
      <c r="M14" s="184" t="e">
        <f t="shared" si="5"/>
        <v>#REF!</v>
      </c>
      <c r="N14" s="174" t="e">
        <f t="shared" si="1"/>
        <v>#REF!</v>
      </c>
      <c r="O14" s="172" t="e">
        <f t="shared" si="2"/>
        <v>#REF!</v>
      </c>
      <c r="P14" s="174" t="e">
        <f t="shared" si="7"/>
        <v>#REF!</v>
      </c>
      <c r="Q14" s="174" t="e">
        <f t="shared" si="6"/>
        <v>#REF!</v>
      </c>
      <c r="R14" s="175" t="e">
        <f t="shared" si="8"/>
        <v>#REF!</v>
      </c>
      <c r="S14" s="174" t="e">
        <f t="shared" si="9"/>
        <v>#REF!</v>
      </c>
      <c r="T14" s="174" t="e">
        <f t="shared" si="10"/>
        <v>#REF!</v>
      </c>
    </row>
    <row r="15" spans="1:20" ht="16.5" customHeight="1" x14ac:dyDescent="0.35">
      <c r="A15" s="64">
        <v>2</v>
      </c>
      <c r="B15" s="65" t="s">
        <v>20</v>
      </c>
      <c r="D15" s="181">
        <f>VLOOKUP(B15,'WF Need'!$B$7:$AB$64,27, FALSE)</f>
        <v>10536589.405710995</v>
      </c>
      <c r="E15" s="91">
        <f t="shared" si="3"/>
        <v>3.9623132532345283E-3</v>
      </c>
      <c r="F15" s="8" t="e">
        <f>#REF!</f>
        <v>#REF!</v>
      </c>
      <c r="H15" s="187" t="e">
        <f>IF(F15&lt;Floors!$E$4,Floors!$E$4, "-")</f>
        <v>#REF!</v>
      </c>
      <c r="I15" s="64" t="e">
        <f t="shared" si="4"/>
        <v>#REF!</v>
      </c>
      <c r="J15" s="184" t="e">
        <f>IF(I15="Y",VLOOKUP(B15,#REF!,2,FALSE)*1.1,"N/A ")</f>
        <v>#REF!</v>
      </c>
      <c r="K15" s="184" t="e">
        <f t="shared" si="0"/>
        <v>#REF!</v>
      </c>
      <c r="M15" s="184" t="e">
        <f t="shared" si="5"/>
        <v>#REF!</v>
      </c>
      <c r="N15" s="174" t="e">
        <f t="shared" si="1"/>
        <v>#REF!</v>
      </c>
      <c r="O15" s="172" t="e">
        <f t="shared" si="2"/>
        <v>#REF!</v>
      </c>
      <c r="P15" s="174" t="e">
        <f t="shared" si="7"/>
        <v>#REF!</v>
      </c>
      <c r="Q15" s="174" t="e">
        <f t="shared" si="6"/>
        <v>#REF!</v>
      </c>
      <c r="R15" s="175" t="e">
        <f t="shared" si="8"/>
        <v>#REF!</v>
      </c>
      <c r="S15" s="174" t="e">
        <f t="shared" si="9"/>
        <v>#REF!</v>
      </c>
      <c r="T15" s="174" t="e">
        <f t="shared" si="10"/>
        <v>#REF!</v>
      </c>
    </row>
    <row r="16" spans="1:20" ht="16.5" customHeight="1" x14ac:dyDescent="0.35">
      <c r="A16" s="64">
        <v>3</v>
      </c>
      <c r="B16" s="65" t="s">
        <v>42</v>
      </c>
      <c r="D16" s="181">
        <f>VLOOKUP(B16,'WF Need'!$B$7:$AB$64,27, FALSE)</f>
        <v>66190563.664688788</v>
      </c>
      <c r="E16" s="91">
        <f t="shared" si="3"/>
        <v>2.4891142432247292E-2</v>
      </c>
      <c r="F16" s="8" t="e">
        <f>#REF!</f>
        <v>#REF!</v>
      </c>
      <c r="H16" s="187" t="e">
        <f>IF(F16&lt;Floors!$E$4,Floors!$E$4, "-")</f>
        <v>#REF!</v>
      </c>
      <c r="I16" s="64" t="e">
        <f t="shared" si="4"/>
        <v>#REF!</v>
      </c>
      <c r="J16" s="184" t="e">
        <f>IF(I16="Y",VLOOKUP(B16,#REF!,2,FALSE)*1.1,"N/A ")</f>
        <v>#REF!</v>
      </c>
      <c r="K16" s="184" t="e">
        <f t="shared" si="0"/>
        <v>#REF!</v>
      </c>
      <c r="M16" s="184" t="e">
        <f t="shared" si="5"/>
        <v>#REF!</v>
      </c>
      <c r="N16" s="174" t="e">
        <f t="shared" si="1"/>
        <v>#REF!</v>
      </c>
      <c r="O16" s="172" t="e">
        <f t="shared" si="2"/>
        <v>#REF!</v>
      </c>
      <c r="P16" s="174" t="e">
        <f t="shared" si="7"/>
        <v>#REF!</v>
      </c>
      <c r="Q16" s="174" t="e">
        <f t="shared" si="6"/>
        <v>#REF!</v>
      </c>
      <c r="R16" s="175" t="e">
        <f t="shared" si="8"/>
        <v>#REF!</v>
      </c>
      <c r="S16" s="174" t="e">
        <f t="shared" si="9"/>
        <v>#REF!</v>
      </c>
      <c r="T16" s="174" t="e">
        <f t="shared" si="10"/>
        <v>#REF!</v>
      </c>
    </row>
    <row r="17" spans="1:20" ht="16.5" customHeight="1" x14ac:dyDescent="0.35">
      <c r="A17" s="64">
        <v>1</v>
      </c>
      <c r="B17" s="65" t="s">
        <v>9</v>
      </c>
      <c r="D17" s="181">
        <f>VLOOKUP(B17,'WF Need'!$B$7:$AB$64,27, FALSE)</f>
        <v>3222233.9112054254</v>
      </c>
      <c r="E17" s="91">
        <f t="shared" si="3"/>
        <v>1.2117298719518106E-3</v>
      </c>
      <c r="F17" s="8" t="e">
        <f>#REF!</f>
        <v>#REF!</v>
      </c>
      <c r="H17" s="187" t="e">
        <f>IF(F17&lt;Floors!$E$4,Floors!$E$4, "-")</f>
        <v>#REF!</v>
      </c>
      <c r="I17" s="64" t="e">
        <f t="shared" si="4"/>
        <v>#REF!</v>
      </c>
      <c r="J17" s="184" t="e">
        <f>IF(I17="Y",VLOOKUP(B17,#REF!,2,FALSE)*1.1,"N/A ")</f>
        <v>#REF!</v>
      </c>
      <c r="K17" s="184" t="e">
        <f t="shared" si="0"/>
        <v>#REF!</v>
      </c>
      <c r="M17" s="184" t="e">
        <f t="shared" si="5"/>
        <v>#REF!</v>
      </c>
      <c r="N17" s="174" t="e">
        <f t="shared" si="1"/>
        <v>#REF!</v>
      </c>
      <c r="O17" s="172" t="e">
        <f t="shared" si="2"/>
        <v>#REF!</v>
      </c>
      <c r="P17" s="174" t="e">
        <f t="shared" si="7"/>
        <v>#REF!</v>
      </c>
      <c r="Q17" s="174" t="e">
        <f t="shared" si="6"/>
        <v>#REF!</v>
      </c>
      <c r="R17" s="175" t="e">
        <f t="shared" si="8"/>
        <v>#REF!</v>
      </c>
      <c r="S17" s="174" t="e">
        <f t="shared" si="9"/>
        <v>#REF!</v>
      </c>
      <c r="T17" s="174" t="e">
        <f t="shared" si="10"/>
        <v>#REF!</v>
      </c>
    </row>
    <row r="18" spans="1:20" ht="16.5" customHeight="1" x14ac:dyDescent="0.35">
      <c r="A18" s="64">
        <v>2</v>
      </c>
      <c r="B18" s="65" t="s">
        <v>21</v>
      </c>
      <c r="C18" s="82"/>
      <c r="D18" s="181">
        <f>VLOOKUP(B18,'WF Need'!$B$7:$AB$64,27, FALSE)</f>
        <v>8993983.100534996</v>
      </c>
      <c r="E18" s="91">
        <f t="shared" si="3"/>
        <v>3.3822119346608873E-3</v>
      </c>
      <c r="F18" s="8" t="e">
        <f>#REF!</f>
        <v>#REF!</v>
      </c>
      <c r="G18" s="82"/>
      <c r="H18" s="187" t="e">
        <f>IF(F18&lt;Floors!$E$4,Floors!$E$4, "-")</f>
        <v>#REF!</v>
      </c>
      <c r="I18" s="64" t="e">
        <f t="shared" si="4"/>
        <v>#REF!</v>
      </c>
      <c r="J18" s="184" t="e">
        <f>IF(I18="Y",VLOOKUP(B18,#REF!,2,FALSE)*1.1,"N/A ")</f>
        <v>#REF!</v>
      </c>
      <c r="K18" s="184" t="e">
        <f t="shared" si="0"/>
        <v>#REF!</v>
      </c>
      <c r="L18" s="82"/>
      <c r="M18" s="184" t="e">
        <f t="shared" si="5"/>
        <v>#REF!</v>
      </c>
      <c r="N18" s="174" t="e">
        <f t="shared" si="1"/>
        <v>#REF!</v>
      </c>
      <c r="O18" s="172" t="e">
        <f t="shared" si="2"/>
        <v>#REF!</v>
      </c>
      <c r="P18" s="174" t="e">
        <f t="shared" si="7"/>
        <v>#REF!</v>
      </c>
      <c r="Q18" s="174" t="e">
        <f t="shared" si="6"/>
        <v>#REF!</v>
      </c>
      <c r="R18" s="175" t="e">
        <f t="shared" si="8"/>
        <v>#REF!</v>
      </c>
      <c r="S18" s="174" t="e">
        <f t="shared" si="9"/>
        <v>#REF!</v>
      </c>
      <c r="T18" s="174" t="e">
        <f t="shared" si="10"/>
        <v>#REF!</v>
      </c>
    </row>
    <row r="19" spans="1:20" ht="16.5" customHeight="1" x14ac:dyDescent="0.35">
      <c r="A19" s="64">
        <v>2</v>
      </c>
      <c r="B19" s="65" t="s">
        <v>22</v>
      </c>
      <c r="D19" s="181">
        <f>VLOOKUP(B19,'WF Need'!$B$7:$AB$64,27, FALSE)</f>
        <v>8363979.7316072527</v>
      </c>
      <c r="E19" s="91">
        <f t="shared" si="3"/>
        <v>3.145297445335548E-3</v>
      </c>
      <c r="F19" s="8" t="e">
        <f>#REF!</f>
        <v>#REF!</v>
      </c>
      <c r="H19" s="187" t="e">
        <f>IF(F19&lt;Floors!$E$4,Floors!$E$4, "-")</f>
        <v>#REF!</v>
      </c>
      <c r="I19" s="64" t="e">
        <f t="shared" si="4"/>
        <v>#REF!</v>
      </c>
      <c r="J19" s="184" t="e">
        <f>IF(I19="Y",VLOOKUP(B19,#REF!,2,FALSE)*1.1,"N/A ")</f>
        <v>#REF!</v>
      </c>
      <c r="K19" s="184" t="e">
        <f t="shared" si="0"/>
        <v>#REF!</v>
      </c>
      <c r="M19" s="184" t="e">
        <f t="shared" si="5"/>
        <v>#REF!</v>
      </c>
      <c r="N19" s="174" t="e">
        <f t="shared" si="1"/>
        <v>#REF!</v>
      </c>
      <c r="O19" s="172" t="e">
        <f t="shared" si="2"/>
        <v>#REF!</v>
      </c>
      <c r="P19" s="174" t="e">
        <f t="shared" si="7"/>
        <v>#REF!</v>
      </c>
      <c r="Q19" s="174" t="e">
        <f t="shared" si="6"/>
        <v>#REF!</v>
      </c>
      <c r="R19" s="175" t="e">
        <f t="shared" si="8"/>
        <v>#REF!</v>
      </c>
      <c r="S19" s="174" t="e">
        <f t="shared" si="9"/>
        <v>#REF!</v>
      </c>
      <c r="T19" s="174" t="e">
        <f t="shared" si="10"/>
        <v>#REF!</v>
      </c>
    </row>
    <row r="20" spans="1:20" ht="16.5" customHeight="1" x14ac:dyDescent="0.35">
      <c r="A20" s="64">
        <v>1</v>
      </c>
      <c r="B20" s="65" t="s">
        <v>10</v>
      </c>
      <c r="D20" s="181">
        <f>VLOOKUP(B20,'WF Need'!$B$7:$AB$64,27, FALSE)</f>
        <v>2499943.171104603</v>
      </c>
      <c r="E20" s="91">
        <f t="shared" si="3"/>
        <v>9.4011046438157277E-4</v>
      </c>
      <c r="F20" s="8" t="e">
        <f>#REF!</f>
        <v>#REF!</v>
      </c>
      <c r="H20" s="187" t="e">
        <f>IF(F20&lt;Floors!$E$4,Floors!$E$4, "-")</f>
        <v>#REF!</v>
      </c>
      <c r="I20" s="64" t="e">
        <f t="shared" si="4"/>
        <v>#REF!</v>
      </c>
      <c r="J20" s="184" t="e">
        <f>IF(I20="Y",VLOOKUP(B20,#REF!,2,FALSE)*1.1,"N/A ")</f>
        <v>#REF!</v>
      </c>
      <c r="K20" s="184" t="e">
        <f t="shared" si="0"/>
        <v>#REF!</v>
      </c>
      <c r="M20" s="184" t="e">
        <f t="shared" si="5"/>
        <v>#REF!</v>
      </c>
      <c r="N20" s="174" t="e">
        <f t="shared" si="1"/>
        <v>#REF!</v>
      </c>
      <c r="O20" s="172" t="e">
        <f t="shared" si="2"/>
        <v>#REF!</v>
      </c>
      <c r="P20" s="174" t="e">
        <f t="shared" si="7"/>
        <v>#REF!</v>
      </c>
      <c r="Q20" s="174" t="e">
        <f t="shared" si="6"/>
        <v>#REF!</v>
      </c>
      <c r="R20" s="175" t="e">
        <f t="shared" si="8"/>
        <v>#REF!</v>
      </c>
      <c r="S20" s="174" t="e">
        <f t="shared" si="9"/>
        <v>#REF!</v>
      </c>
      <c r="T20" s="174" t="e">
        <f t="shared" si="10"/>
        <v>#REF!</v>
      </c>
    </row>
    <row r="21" spans="1:20" ht="16.5" customHeight="1" x14ac:dyDescent="0.35">
      <c r="A21" s="64">
        <v>3</v>
      </c>
      <c r="B21" s="65" t="s">
        <v>43</v>
      </c>
      <c r="D21" s="181">
        <f>VLOOKUP(B21,'WF Need'!$B$7:$AB$64,27, FALSE)</f>
        <v>66131987.639705405</v>
      </c>
      <c r="E21" s="91">
        <f t="shared" si="3"/>
        <v>2.4869114757904428E-2</v>
      </c>
      <c r="F21" s="8" t="e">
        <f>#REF!</f>
        <v>#REF!</v>
      </c>
      <c r="H21" s="187" t="e">
        <f>IF(F21&lt;Floors!$E$4,Floors!$E$4, "-")</f>
        <v>#REF!</v>
      </c>
      <c r="I21" s="64" t="e">
        <f t="shared" si="4"/>
        <v>#REF!</v>
      </c>
      <c r="J21" s="184" t="e">
        <f>IF(I21="Y",VLOOKUP(B21,#REF!,2,FALSE)*1.1,"N/A ")</f>
        <v>#REF!</v>
      </c>
      <c r="K21" s="184" t="e">
        <f t="shared" si="0"/>
        <v>#REF!</v>
      </c>
      <c r="M21" s="184" t="e">
        <f t="shared" si="5"/>
        <v>#REF!</v>
      </c>
      <c r="N21" s="174" t="e">
        <f t="shared" si="1"/>
        <v>#REF!</v>
      </c>
      <c r="O21" s="172" t="e">
        <f t="shared" si="2"/>
        <v>#REF!</v>
      </c>
      <c r="P21" s="174" t="e">
        <f t="shared" si="7"/>
        <v>#REF!</v>
      </c>
      <c r="Q21" s="174" t="e">
        <f t="shared" si="6"/>
        <v>#REF!</v>
      </c>
      <c r="R21" s="175" t="e">
        <f t="shared" si="8"/>
        <v>#REF!</v>
      </c>
      <c r="S21" s="174" t="e">
        <f t="shared" si="9"/>
        <v>#REF!</v>
      </c>
      <c r="T21" s="174" t="e">
        <f t="shared" si="10"/>
        <v>#REF!</v>
      </c>
    </row>
    <row r="22" spans="1:20" ht="16.5" customHeight="1" x14ac:dyDescent="0.35">
      <c r="A22" s="64">
        <v>2</v>
      </c>
      <c r="B22" s="65" t="s">
        <v>23</v>
      </c>
      <c r="D22" s="181">
        <f>VLOOKUP(B22,'WF Need'!$B$7:$AB$64,27, FALSE)</f>
        <v>11937680.642155364</v>
      </c>
      <c r="E22" s="91">
        <f t="shared" si="3"/>
        <v>4.4891974433070051E-3</v>
      </c>
      <c r="F22" s="8" t="e">
        <f>#REF!</f>
        <v>#REF!</v>
      </c>
      <c r="H22" s="187" t="e">
        <f>IF(F22&lt;Floors!$E$4,Floors!$E$4, "-")</f>
        <v>#REF!</v>
      </c>
      <c r="I22" s="64" t="e">
        <f t="shared" si="4"/>
        <v>#REF!</v>
      </c>
      <c r="J22" s="184" t="e">
        <f>IF(I22="Y",VLOOKUP(B22,#REF!,2,FALSE)*1.1,"N/A ")</f>
        <v>#REF!</v>
      </c>
      <c r="K22" s="184" t="e">
        <f t="shared" si="0"/>
        <v>#REF!</v>
      </c>
      <c r="M22" s="184" t="e">
        <f t="shared" si="5"/>
        <v>#REF!</v>
      </c>
      <c r="N22" s="174" t="e">
        <f t="shared" si="1"/>
        <v>#REF!</v>
      </c>
      <c r="O22" s="172" t="e">
        <f t="shared" si="2"/>
        <v>#REF!</v>
      </c>
      <c r="P22" s="174" t="e">
        <f t="shared" si="7"/>
        <v>#REF!</v>
      </c>
      <c r="Q22" s="174" t="e">
        <f t="shared" si="6"/>
        <v>#REF!</v>
      </c>
      <c r="R22" s="175" t="e">
        <f t="shared" si="8"/>
        <v>#REF!</v>
      </c>
      <c r="S22" s="174" t="e">
        <f t="shared" si="9"/>
        <v>#REF!</v>
      </c>
      <c r="T22" s="174" t="e">
        <f t="shared" si="10"/>
        <v>#REF!</v>
      </c>
    </row>
    <row r="23" spans="1:20" ht="16.5" customHeight="1" x14ac:dyDescent="0.35">
      <c r="A23" s="64">
        <v>2</v>
      </c>
      <c r="B23" s="65" t="s">
        <v>24</v>
      </c>
      <c r="D23" s="181">
        <f>VLOOKUP(B23,'WF Need'!$B$7:$AB$64,27, FALSE)</f>
        <v>5522042.6865802724</v>
      </c>
      <c r="E23" s="91">
        <f t="shared" si="3"/>
        <v>2.0765792496483236E-3</v>
      </c>
      <c r="F23" s="8" t="e">
        <f>#REF!</f>
        <v>#REF!</v>
      </c>
      <c r="H23" s="187" t="e">
        <f>IF(F23&lt;Floors!$E$4,Floors!$E$4, "-")</f>
        <v>#REF!</v>
      </c>
      <c r="I23" s="64" t="e">
        <f t="shared" si="4"/>
        <v>#REF!</v>
      </c>
      <c r="J23" s="184" t="e">
        <f>IF(I23="Y",VLOOKUP(B23,#REF!,2,FALSE)*1.1,"N/A ")</f>
        <v>#REF!</v>
      </c>
      <c r="K23" s="184" t="e">
        <f t="shared" si="0"/>
        <v>#REF!</v>
      </c>
      <c r="M23" s="184" t="e">
        <f t="shared" si="5"/>
        <v>#REF!</v>
      </c>
      <c r="N23" s="174" t="e">
        <f t="shared" si="1"/>
        <v>#REF!</v>
      </c>
      <c r="O23" s="172" t="e">
        <f t="shared" si="2"/>
        <v>#REF!</v>
      </c>
      <c r="P23" s="174" t="e">
        <f t="shared" si="7"/>
        <v>#REF!</v>
      </c>
      <c r="Q23" s="174" t="e">
        <f t="shared" si="6"/>
        <v>#REF!</v>
      </c>
      <c r="R23" s="175" t="e">
        <f t="shared" si="8"/>
        <v>#REF!</v>
      </c>
      <c r="S23" s="174" t="e">
        <f t="shared" si="9"/>
        <v>#REF!</v>
      </c>
      <c r="T23" s="174" t="e">
        <f t="shared" si="10"/>
        <v>#REF!</v>
      </c>
    </row>
    <row r="24" spans="1:20" ht="16.5" customHeight="1" x14ac:dyDescent="0.35">
      <c r="A24" s="64">
        <v>1</v>
      </c>
      <c r="B24" s="65" t="s">
        <v>11</v>
      </c>
      <c r="D24" s="181">
        <f>VLOOKUP(B24,'WF Need'!$B$7:$AB$64,27, FALSE)</f>
        <v>2332823.239583293</v>
      </c>
      <c r="E24" s="91">
        <f t="shared" si="3"/>
        <v>8.7726455722421306E-4</v>
      </c>
      <c r="F24" s="8" t="e">
        <f>#REF!</f>
        <v>#REF!</v>
      </c>
      <c r="H24" s="187" t="e">
        <f>IF(F24&lt;Floors!$E$4,Floors!$E$4, "-")</f>
        <v>#REF!</v>
      </c>
      <c r="I24" s="64" t="e">
        <f t="shared" si="4"/>
        <v>#REF!</v>
      </c>
      <c r="J24" s="184" t="e">
        <f>IF(I24="Y",VLOOKUP(B24,#REF!,2,FALSE)*1.1,"N/A ")</f>
        <v>#REF!</v>
      </c>
      <c r="K24" s="184" t="e">
        <f t="shared" si="0"/>
        <v>#REF!</v>
      </c>
      <c r="M24" s="185" t="e">
        <f t="shared" si="5"/>
        <v>#REF!</v>
      </c>
      <c r="N24" s="174" t="e">
        <f t="shared" si="1"/>
        <v>#REF!</v>
      </c>
      <c r="O24" s="176" t="e">
        <f t="shared" si="2"/>
        <v>#REF!</v>
      </c>
      <c r="P24" s="174" t="e">
        <f t="shared" si="7"/>
        <v>#REF!</v>
      </c>
      <c r="Q24" s="174" t="e">
        <f t="shared" si="6"/>
        <v>#REF!</v>
      </c>
      <c r="R24" s="175" t="e">
        <f t="shared" si="8"/>
        <v>#REF!</v>
      </c>
      <c r="S24" s="174" t="e">
        <f t="shared" si="9"/>
        <v>#REF!</v>
      </c>
      <c r="T24" s="174" t="e">
        <f t="shared" si="10"/>
        <v>#REF!</v>
      </c>
    </row>
    <row r="25" spans="1:20" ht="16.5" customHeight="1" x14ac:dyDescent="0.35">
      <c r="A25" s="64">
        <v>4</v>
      </c>
      <c r="B25" s="65" t="s">
        <v>54</v>
      </c>
      <c r="D25" s="181">
        <f>VLOOKUP(B25,'WF Need'!$B$7:$AB$64,27, FALSE)</f>
        <v>782911051.89954555</v>
      </c>
      <c r="E25" s="91">
        <f t="shared" si="3"/>
        <v>0.2944158415591242</v>
      </c>
      <c r="F25" s="8" t="e">
        <f>#REF!</f>
        <v>#REF!</v>
      </c>
      <c r="H25" s="187" t="e">
        <f>IF(F25&lt;Floors!$E$4,Floors!$E$4, "-")</f>
        <v>#REF!</v>
      </c>
      <c r="I25" s="64" t="e">
        <f t="shared" si="4"/>
        <v>#REF!</v>
      </c>
      <c r="J25" s="184" t="e">
        <f>IF(I25="Y",VLOOKUP(B25,#REF!,2,FALSE)*1.1,"N/A ")</f>
        <v>#REF!</v>
      </c>
      <c r="K25" s="184" t="e">
        <f t="shared" si="0"/>
        <v>#REF!</v>
      </c>
      <c r="M25" s="184" t="e">
        <f t="shared" si="5"/>
        <v>#REF!</v>
      </c>
      <c r="N25" s="174" t="e">
        <f t="shared" si="1"/>
        <v>#REF!</v>
      </c>
      <c r="O25" s="172" t="e">
        <f t="shared" si="2"/>
        <v>#REF!</v>
      </c>
      <c r="P25" s="174" t="e">
        <f t="shared" si="7"/>
        <v>#REF!</v>
      </c>
      <c r="Q25" s="174" t="e">
        <f t="shared" si="6"/>
        <v>#REF!</v>
      </c>
      <c r="R25" s="175" t="e">
        <f t="shared" si="8"/>
        <v>#REF!</v>
      </c>
      <c r="S25" s="174" t="e">
        <f t="shared" si="9"/>
        <v>#REF!</v>
      </c>
      <c r="T25" s="174" t="e">
        <f t="shared" si="10"/>
        <v>#REF!</v>
      </c>
    </row>
    <row r="26" spans="1:20" ht="16.5" customHeight="1" x14ac:dyDescent="0.35">
      <c r="A26" s="64">
        <v>2</v>
      </c>
      <c r="B26" s="65" t="s">
        <v>25</v>
      </c>
      <c r="D26" s="181">
        <f>VLOOKUP(B26,'WF Need'!$B$7:$AB$64,27, FALSE)</f>
        <v>13312565.861414256</v>
      </c>
      <c r="E26" s="91">
        <f t="shared" si="3"/>
        <v>5.0062267889691807E-3</v>
      </c>
      <c r="F26" s="8" t="e">
        <f>#REF!</f>
        <v>#REF!</v>
      </c>
      <c r="H26" s="187" t="e">
        <f>IF(F26&lt;Floors!$E$4,Floors!$E$4, "-")</f>
        <v>#REF!</v>
      </c>
      <c r="I26" s="64" t="e">
        <f t="shared" si="4"/>
        <v>#REF!</v>
      </c>
      <c r="J26" s="184" t="e">
        <f>IF(I26="Y",VLOOKUP(B26,#REF!,2,FALSE)*1.1,"N/A ")</f>
        <v>#REF!</v>
      </c>
      <c r="K26" s="184" t="e">
        <f t="shared" si="0"/>
        <v>#REF!</v>
      </c>
      <c r="M26" s="184" t="e">
        <f t="shared" si="5"/>
        <v>#REF!</v>
      </c>
      <c r="N26" s="174" t="e">
        <f t="shared" si="1"/>
        <v>#REF!</v>
      </c>
      <c r="O26" s="172" t="e">
        <f t="shared" si="2"/>
        <v>#REF!</v>
      </c>
      <c r="P26" s="174" t="e">
        <f t="shared" si="7"/>
        <v>#REF!</v>
      </c>
      <c r="Q26" s="174" t="e">
        <f t="shared" si="6"/>
        <v>#REF!</v>
      </c>
      <c r="R26" s="175" t="e">
        <f t="shared" si="8"/>
        <v>#REF!</v>
      </c>
      <c r="S26" s="174" t="e">
        <f t="shared" si="9"/>
        <v>#REF!</v>
      </c>
      <c r="T26" s="174" t="e">
        <f t="shared" si="10"/>
        <v>#REF!</v>
      </c>
    </row>
    <row r="27" spans="1:20" ht="16.5" customHeight="1" x14ac:dyDescent="0.35">
      <c r="A27" s="64">
        <v>2</v>
      </c>
      <c r="B27" s="65" t="s">
        <v>26</v>
      </c>
      <c r="D27" s="181">
        <f>VLOOKUP(B27,'WF Need'!$B$7:$AB$64,27, FALSE)</f>
        <v>15317859.861304056</v>
      </c>
      <c r="E27" s="91">
        <f t="shared" si="3"/>
        <v>5.7603230801360735E-3</v>
      </c>
      <c r="F27" s="8" t="e">
        <f>#REF!</f>
        <v>#REF!</v>
      </c>
      <c r="H27" s="187" t="e">
        <f>IF(F27&lt;Floors!$E$4,Floors!$E$4, "-")</f>
        <v>#REF!</v>
      </c>
      <c r="I27" s="64" t="e">
        <f t="shared" si="4"/>
        <v>#REF!</v>
      </c>
      <c r="J27" s="184" t="e">
        <f>IF(I27="Y",VLOOKUP(B27,#REF!,2,FALSE)*1.1,"N/A ")</f>
        <v>#REF!</v>
      </c>
      <c r="K27" s="184" t="e">
        <f t="shared" si="0"/>
        <v>#REF!</v>
      </c>
      <c r="M27" s="184" t="e">
        <f t="shared" si="5"/>
        <v>#REF!</v>
      </c>
      <c r="N27" s="174" t="e">
        <f t="shared" si="1"/>
        <v>#REF!</v>
      </c>
      <c r="O27" s="172" t="e">
        <f t="shared" si="2"/>
        <v>#REF!</v>
      </c>
      <c r="P27" s="174" t="e">
        <f t="shared" si="7"/>
        <v>#REF!</v>
      </c>
      <c r="Q27" s="174" t="e">
        <f t="shared" si="6"/>
        <v>#REF!</v>
      </c>
      <c r="R27" s="175" t="e">
        <f t="shared" si="8"/>
        <v>#REF!</v>
      </c>
      <c r="S27" s="174" t="e">
        <f t="shared" si="9"/>
        <v>#REF!</v>
      </c>
      <c r="T27" s="174" t="e">
        <f t="shared" si="10"/>
        <v>#REF!</v>
      </c>
    </row>
    <row r="28" spans="1:20" ht="16.5" customHeight="1" x14ac:dyDescent="0.35">
      <c r="A28" s="64">
        <v>1</v>
      </c>
      <c r="B28" s="65" t="s">
        <v>12</v>
      </c>
      <c r="D28" s="181">
        <f>VLOOKUP(B28,'WF Need'!$B$7:$AB$64,27, FALSE)</f>
        <v>1805697.3288968455</v>
      </c>
      <c r="E28" s="91">
        <f t="shared" si="3"/>
        <v>6.7903741733925578E-4</v>
      </c>
      <c r="F28" s="8" t="e">
        <f>#REF!</f>
        <v>#REF!</v>
      </c>
      <c r="H28" s="187" t="e">
        <f>IF(F28&lt;Floors!$E$4,Floors!$E$4, "-")</f>
        <v>#REF!</v>
      </c>
      <c r="I28" s="64" t="e">
        <f t="shared" si="4"/>
        <v>#REF!</v>
      </c>
      <c r="J28" s="184" t="e">
        <f>IF(I28="Y",VLOOKUP(B28,#REF!,2,FALSE)*1.1,"N/A ")</f>
        <v>#REF!</v>
      </c>
      <c r="K28" s="184" t="e">
        <f t="shared" si="0"/>
        <v>#REF!</v>
      </c>
      <c r="M28" s="185" t="e">
        <f t="shared" si="5"/>
        <v>#REF!</v>
      </c>
      <c r="N28" s="174" t="e">
        <f t="shared" si="1"/>
        <v>#REF!</v>
      </c>
      <c r="O28" s="174" t="e">
        <f t="shared" si="2"/>
        <v>#REF!</v>
      </c>
      <c r="P28" s="174" t="e">
        <f>IF(M28="n/a",(IF(AND(H28=750000,(F28&gt;750000)), H28-F28, 0)),M28-F28)</f>
        <v>#REF!</v>
      </c>
      <c r="Q28" s="174" t="e">
        <f t="shared" si="6"/>
        <v>#REF!</v>
      </c>
      <c r="R28" s="175" t="e">
        <f t="shared" si="8"/>
        <v>#REF!</v>
      </c>
      <c r="S28" s="174" t="e">
        <f t="shared" si="9"/>
        <v>#REF!</v>
      </c>
      <c r="T28" s="174" t="e">
        <f t="shared" si="10"/>
        <v>#REF!</v>
      </c>
    </row>
    <row r="29" spans="1:20" ht="16.5" customHeight="1" x14ac:dyDescent="0.35">
      <c r="A29" s="64">
        <v>2</v>
      </c>
      <c r="B29" s="65" t="s">
        <v>27</v>
      </c>
      <c r="D29" s="181">
        <f>VLOOKUP(B29,'WF Need'!$B$7:$AB$64,27, FALSE)</f>
        <v>7231739.4312225534</v>
      </c>
      <c r="E29" s="91">
        <f t="shared" si="3"/>
        <v>2.7195153848113998E-3</v>
      </c>
      <c r="F29" s="8" t="e">
        <f>#REF!</f>
        <v>#REF!</v>
      </c>
      <c r="H29" s="187" t="e">
        <f>IF(F29&lt;Floors!$E$4,Floors!$E$4, "-")</f>
        <v>#REF!</v>
      </c>
      <c r="I29" s="64" t="e">
        <f t="shared" si="4"/>
        <v>#REF!</v>
      </c>
      <c r="J29" s="184" t="e">
        <f>IF(I29="Y",VLOOKUP(B29,#REF!,2,FALSE)*1.1,"N/A ")</f>
        <v>#REF!</v>
      </c>
      <c r="K29" s="184" t="e">
        <f t="shared" si="0"/>
        <v>#REF!</v>
      </c>
      <c r="M29" s="184" t="e">
        <f t="shared" si="5"/>
        <v>#REF!</v>
      </c>
      <c r="N29" s="174" t="e">
        <f t="shared" si="1"/>
        <v>#REF!</v>
      </c>
      <c r="O29" s="172" t="e">
        <f t="shared" si="2"/>
        <v>#REF!</v>
      </c>
      <c r="P29" s="174" t="e">
        <f>IF(M29="n/a",(IF(AND(H29=750000,(F29&gt;750000)), H29-F29, 0)),M29-F29)</f>
        <v>#REF!</v>
      </c>
      <c r="Q29" s="174" t="e">
        <f t="shared" si="6"/>
        <v>#REF!</v>
      </c>
      <c r="R29" s="175" t="e">
        <f t="shared" si="8"/>
        <v>#REF!</v>
      </c>
      <c r="S29" s="174" t="e">
        <f t="shared" si="9"/>
        <v>#REF!</v>
      </c>
      <c r="T29" s="174" t="e">
        <f t="shared" si="10"/>
        <v>#REF!</v>
      </c>
    </row>
    <row r="30" spans="1:20" ht="16.5" customHeight="1" x14ac:dyDescent="0.35">
      <c r="A30" s="64">
        <v>2</v>
      </c>
      <c r="B30" s="65" t="s">
        <v>28</v>
      </c>
      <c r="D30" s="181">
        <f>VLOOKUP(B30,'WF Need'!$B$7:$AB$64,27, FALSE)</f>
        <v>18090994.088094279</v>
      </c>
      <c r="E30" s="91">
        <f t="shared" si="3"/>
        <v>6.8031677879172754E-3</v>
      </c>
      <c r="F30" s="8" t="e">
        <f>#REF!</f>
        <v>#REF!</v>
      </c>
      <c r="H30" s="187" t="e">
        <f>IF(F30&lt;Floors!$E$4,Floors!$E$4, "-")</f>
        <v>#REF!</v>
      </c>
      <c r="I30" s="64" t="e">
        <f t="shared" si="4"/>
        <v>#REF!</v>
      </c>
      <c r="J30" s="184" t="e">
        <f>IF(I30="Y",VLOOKUP(B30,#REF!,2,FALSE)*1.1,"N/A ")</f>
        <v>#REF!</v>
      </c>
      <c r="K30" s="184" t="e">
        <f t="shared" si="0"/>
        <v>#REF!</v>
      </c>
      <c r="M30" s="184" t="e">
        <f t="shared" si="5"/>
        <v>#REF!</v>
      </c>
      <c r="N30" s="174" t="e">
        <f t="shared" si="1"/>
        <v>#REF!</v>
      </c>
      <c r="O30" s="172" t="e">
        <f t="shared" si="2"/>
        <v>#REF!</v>
      </c>
      <c r="P30" s="174" t="e">
        <f t="shared" ref="P30:P41" si="11">IF(M30="n/a",(IF(AND(H30=750000,(F30&gt;750000)), H30-F30, 0)),M30-F30)</f>
        <v>#REF!</v>
      </c>
      <c r="Q30" s="174" t="e">
        <f t="shared" si="6"/>
        <v>#REF!</v>
      </c>
      <c r="R30" s="175" t="e">
        <f t="shared" si="8"/>
        <v>#REF!</v>
      </c>
      <c r="S30" s="174" t="e">
        <f t="shared" si="9"/>
        <v>#REF!</v>
      </c>
      <c r="T30" s="174" t="e">
        <f t="shared" si="10"/>
        <v>#REF!</v>
      </c>
    </row>
    <row r="31" spans="1:20" ht="16.5" customHeight="1" x14ac:dyDescent="0.35">
      <c r="A31" s="64">
        <v>1</v>
      </c>
      <c r="B31" s="65" t="s">
        <v>13</v>
      </c>
      <c r="D31" s="181">
        <f>VLOOKUP(B31,'WF Need'!$B$7:$AB$64,27, FALSE)</f>
        <v>1279449.3564290348</v>
      </c>
      <c r="E31" s="91">
        <f t="shared" si="3"/>
        <v>4.8114042852171525E-4</v>
      </c>
      <c r="F31" s="8" t="e">
        <f>#REF!</f>
        <v>#REF!</v>
      </c>
      <c r="H31" s="187" t="e">
        <f>IF(F31&lt;Floors!$E$4,Floors!$E$4, "-")</f>
        <v>#REF!</v>
      </c>
      <c r="I31" s="64" t="e">
        <f t="shared" si="4"/>
        <v>#REF!</v>
      </c>
      <c r="J31" s="184" t="e">
        <f>IF(I31="Y",VLOOKUP(B31,#REF!,2,FALSE)*1.1,"N/A ")</f>
        <v>#REF!</v>
      </c>
      <c r="K31" s="184" t="e">
        <f t="shared" si="0"/>
        <v>#REF!</v>
      </c>
      <c r="M31" s="184" t="e">
        <f t="shared" si="5"/>
        <v>#REF!</v>
      </c>
      <c r="N31" s="174" t="e">
        <f t="shared" si="1"/>
        <v>#REF!</v>
      </c>
      <c r="O31" s="174" t="e">
        <f t="shared" si="2"/>
        <v>#REF!</v>
      </c>
      <c r="P31" s="174" t="e">
        <f t="shared" si="11"/>
        <v>#REF!</v>
      </c>
      <c r="Q31" s="174" t="e">
        <f t="shared" si="6"/>
        <v>#REF!</v>
      </c>
      <c r="R31" s="175" t="e">
        <f t="shared" si="8"/>
        <v>#REF!</v>
      </c>
      <c r="S31" s="174" t="e">
        <f t="shared" si="9"/>
        <v>#REF!</v>
      </c>
      <c r="T31" s="174" t="e">
        <f t="shared" si="10"/>
        <v>#REF!</v>
      </c>
    </row>
    <row r="32" spans="1:20" ht="16.5" customHeight="1" x14ac:dyDescent="0.35">
      <c r="A32" s="64">
        <v>1</v>
      </c>
      <c r="B32" s="65" t="s">
        <v>14</v>
      </c>
      <c r="D32" s="181">
        <f>VLOOKUP(B32,'WF Need'!$B$7:$AB$64,27, FALSE)</f>
        <v>2061574.5609917394</v>
      </c>
      <c r="E32" s="91">
        <f t="shared" si="3"/>
        <v>7.7526075004130028E-4</v>
      </c>
      <c r="F32" s="8" t="e">
        <f>#REF!</f>
        <v>#REF!</v>
      </c>
      <c r="H32" s="187" t="e">
        <f>IF(F32&lt;Floors!$E$4,Floors!$E$4, "-")</f>
        <v>#REF!</v>
      </c>
      <c r="I32" s="64" t="e">
        <f t="shared" si="4"/>
        <v>#REF!</v>
      </c>
      <c r="J32" s="184" t="e">
        <f>IF(I32="Y",VLOOKUP(B32,#REF!,2,FALSE)*1.1,"N/A ")</f>
        <v>#REF!</v>
      </c>
      <c r="K32" s="184" t="e">
        <f t="shared" si="0"/>
        <v>#REF!</v>
      </c>
      <c r="M32" s="185" t="e">
        <f t="shared" si="5"/>
        <v>#REF!</v>
      </c>
      <c r="N32" s="174" t="e">
        <f t="shared" si="1"/>
        <v>#REF!</v>
      </c>
      <c r="O32" s="174" t="e">
        <f t="shared" si="2"/>
        <v>#REF!</v>
      </c>
      <c r="P32" s="174" t="e">
        <f t="shared" si="11"/>
        <v>#REF!</v>
      </c>
      <c r="Q32" s="174" t="e">
        <f t="shared" si="6"/>
        <v>#REF!</v>
      </c>
      <c r="R32" s="175" t="e">
        <f t="shared" si="8"/>
        <v>#REF!</v>
      </c>
      <c r="S32" s="174" t="e">
        <f t="shared" si="9"/>
        <v>#REF!</v>
      </c>
      <c r="T32" s="174" t="e">
        <f t="shared" si="10"/>
        <v>#REF!</v>
      </c>
    </row>
    <row r="33" spans="1:20" ht="16.5" customHeight="1" x14ac:dyDescent="0.35">
      <c r="A33" s="64">
        <v>3</v>
      </c>
      <c r="B33" s="65" t="s">
        <v>44</v>
      </c>
      <c r="D33" s="181">
        <f>VLOOKUP(B33,'WF Need'!$B$7:$AB$64,27, FALSE)</f>
        <v>28026310.157663789</v>
      </c>
      <c r="E33" s="91">
        <f t="shared" si="3"/>
        <v>1.0539370559204141E-2</v>
      </c>
      <c r="F33" s="8" t="e">
        <f>#REF!</f>
        <v>#REF!</v>
      </c>
      <c r="H33" s="187" t="e">
        <f>IF(F33&lt;Floors!$E$4,Floors!$E$4, "-")</f>
        <v>#REF!</v>
      </c>
      <c r="I33" s="64" t="e">
        <f t="shared" si="4"/>
        <v>#REF!</v>
      </c>
      <c r="J33" s="184" t="e">
        <f>IF(I33="Y",VLOOKUP(B33,#REF!,2,FALSE)*1.1,"N/A ")</f>
        <v>#REF!</v>
      </c>
      <c r="K33" s="184" t="e">
        <f t="shared" si="0"/>
        <v>#REF!</v>
      </c>
      <c r="M33" s="184" t="e">
        <f t="shared" si="5"/>
        <v>#REF!</v>
      </c>
      <c r="N33" s="174" t="e">
        <f t="shared" si="1"/>
        <v>#REF!</v>
      </c>
      <c r="O33" s="172" t="e">
        <f t="shared" si="2"/>
        <v>#REF!</v>
      </c>
      <c r="P33" s="174" t="e">
        <f t="shared" si="11"/>
        <v>#REF!</v>
      </c>
      <c r="Q33" s="174" t="e">
        <f t="shared" si="6"/>
        <v>#REF!</v>
      </c>
      <c r="R33" s="175" t="e">
        <f t="shared" si="8"/>
        <v>#REF!</v>
      </c>
      <c r="S33" s="174" t="e">
        <f t="shared" si="9"/>
        <v>#REF!</v>
      </c>
      <c r="T33" s="174" t="e">
        <f t="shared" si="10"/>
        <v>#REF!</v>
      </c>
    </row>
    <row r="34" spans="1:20" ht="16.5" customHeight="1" x14ac:dyDescent="0.35">
      <c r="A34" s="64">
        <v>2</v>
      </c>
      <c r="B34" s="65" t="s">
        <v>29</v>
      </c>
      <c r="D34" s="181">
        <f>VLOOKUP(B34,'WF Need'!$B$7:$AB$64,27, FALSE)</f>
        <v>10386822.766043261</v>
      </c>
      <c r="E34" s="91">
        <f t="shared" si="3"/>
        <v>3.905993098922905E-3</v>
      </c>
      <c r="F34" s="8" t="e">
        <f>#REF!</f>
        <v>#REF!</v>
      </c>
      <c r="H34" s="187" t="e">
        <f>IF(F34&lt;Floors!$E$4,Floors!$E$4, "-")</f>
        <v>#REF!</v>
      </c>
      <c r="I34" s="64" t="e">
        <f t="shared" si="4"/>
        <v>#REF!</v>
      </c>
      <c r="J34" s="184" t="e">
        <f>IF(I34="Y",VLOOKUP(B34,#REF!,2,FALSE)*1.1,"N/A ")</f>
        <v>#REF!</v>
      </c>
      <c r="K34" s="184" t="e">
        <f t="shared" si="0"/>
        <v>#REF!</v>
      </c>
      <c r="M34" s="184" t="e">
        <f t="shared" si="5"/>
        <v>#REF!</v>
      </c>
      <c r="N34" s="174" t="e">
        <f t="shared" si="1"/>
        <v>#REF!</v>
      </c>
      <c r="O34" s="172" t="e">
        <f t="shared" si="2"/>
        <v>#REF!</v>
      </c>
      <c r="P34" s="174" t="e">
        <f t="shared" si="11"/>
        <v>#REF!</v>
      </c>
      <c r="Q34" s="174" t="e">
        <f t="shared" si="6"/>
        <v>#REF!</v>
      </c>
      <c r="R34" s="175" t="e">
        <f t="shared" si="8"/>
        <v>#REF!</v>
      </c>
      <c r="S34" s="174" t="e">
        <f t="shared" si="9"/>
        <v>#REF!</v>
      </c>
      <c r="T34" s="174" t="e">
        <f t="shared" si="10"/>
        <v>#REF!</v>
      </c>
    </row>
    <row r="35" spans="1:20" ht="16.5" customHeight="1" x14ac:dyDescent="0.35">
      <c r="A35" s="64">
        <v>2</v>
      </c>
      <c r="B35" s="65" t="s">
        <v>30</v>
      </c>
      <c r="D35" s="181">
        <f>VLOOKUP(B35,'WF Need'!$B$7:$AB$64,27, FALSE)</f>
        <v>7599776.5498515666</v>
      </c>
      <c r="E35" s="91">
        <f t="shared" si="3"/>
        <v>2.8579167494916613E-3</v>
      </c>
      <c r="F35" s="8" t="e">
        <f>#REF!</f>
        <v>#REF!</v>
      </c>
      <c r="H35" s="187" t="e">
        <f>IF(F35&lt;Floors!$E$4,Floors!$E$4, "-")</f>
        <v>#REF!</v>
      </c>
      <c r="I35" s="64" t="e">
        <f t="shared" si="4"/>
        <v>#REF!</v>
      </c>
      <c r="J35" s="184" t="e">
        <f>IF(I35="Y",VLOOKUP(B35,#REF!,2,FALSE)*1.1,"N/A ")</f>
        <v>#REF!</v>
      </c>
      <c r="K35" s="184" t="e">
        <f t="shared" si="0"/>
        <v>#REF!</v>
      </c>
      <c r="M35" s="184" t="e">
        <f t="shared" si="5"/>
        <v>#REF!</v>
      </c>
      <c r="N35" s="174" t="e">
        <f t="shared" si="1"/>
        <v>#REF!</v>
      </c>
      <c r="O35" s="172" t="e">
        <f t="shared" si="2"/>
        <v>#REF!</v>
      </c>
      <c r="P35" s="174" t="e">
        <f t="shared" si="11"/>
        <v>#REF!</v>
      </c>
      <c r="Q35" s="174" t="e">
        <f t="shared" si="6"/>
        <v>#REF!</v>
      </c>
      <c r="R35" s="175" t="e">
        <f t="shared" si="8"/>
        <v>#REF!</v>
      </c>
      <c r="S35" s="174" t="e">
        <f t="shared" si="9"/>
        <v>#REF!</v>
      </c>
      <c r="T35" s="174" t="e">
        <f t="shared" si="10"/>
        <v>#REF!</v>
      </c>
    </row>
    <row r="36" spans="1:20" ht="16.5" customHeight="1" x14ac:dyDescent="0.35">
      <c r="A36" s="64">
        <v>4</v>
      </c>
      <c r="B36" s="65" t="s">
        <v>55</v>
      </c>
      <c r="D36" s="181">
        <f>VLOOKUP(B36,'WF Need'!$B$7:$AB$64,27, FALSE)</f>
        <v>210173824.43525189</v>
      </c>
      <c r="E36" s="91">
        <f t="shared" si="3"/>
        <v>7.9036441297732338E-2</v>
      </c>
      <c r="F36" s="8" t="e">
        <f>#REF!</f>
        <v>#REF!</v>
      </c>
      <c r="H36" s="187" t="e">
        <f>IF(F36&lt;Floors!$E$4,Floors!$E$4, "-")</f>
        <v>#REF!</v>
      </c>
      <c r="I36" s="64" t="e">
        <f t="shared" si="4"/>
        <v>#REF!</v>
      </c>
      <c r="J36" s="184" t="e">
        <f>IF(I36="Y",VLOOKUP(B36,#REF!,2,FALSE)*1.1,"N/A ")</f>
        <v>#REF!</v>
      </c>
      <c r="K36" s="184" t="e">
        <f t="shared" si="0"/>
        <v>#REF!</v>
      </c>
      <c r="M36" s="184" t="e">
        <f t="shared" si="5"/>
        <v>#REF!</v>
      </c>
      <c r="N36" s="174" t="e">
        <f t="shared" si="1"/>
        <v>#REF!</v>
      </c>
      <c r="O36" s="172" t="e">
        <f t="shared" si="2"/>
        <v>#REF!</v>
      </c>
      <c r="P36" s="174" t="e">
        <f t="shared" si="11"/>
        <v>#REF!</v>
      </c>
      <c r="Q36" s="174" t="e">
        <f t="shared" si="6"/>
        <v>#REF!</v>
      </c>
      <c r="R36" s="175" t="e">
        <f t="shared" si="8"/>
        <v>#REF!</v>
      </c>
      <c r="S36" s="174" t="e">
        <f t="shared" si="9"/>
        <v>#REF!</v>
      </c>
      <c r="T36" s="174" t="e">
        <f t="shared" si="10"/>
        <v>#REF!</v>
      </c>
    </row>
    <row r="37" spans="1:20" ht="16.5" customHeight="1" x14ac:dyDescent="0.35">
      <c r="A37" s="64">
        <v>2</v>
      </c>
      <c r="B37" s="65" t="s">
        <v>31</v>
      </c>
      <c r="D37" s="181">
        <f>VLOOKUP(B37,'WF Need'!$B$7:$AB$64,27, FALSE)</f>
        <v>26685022.068954192</v>
      </c>
      <c r="E37" s="91">
        <f t="shared" si="3"/>
        <v>1.0034975506340162E-2</v>
      </c>
      <c r="F37" s="8" t="e">
        <f>#REF!</f>
        <v>#REF!</v>
      </c>
      <c r="H37" s="187" t="e">
        <f>IF(F37&lt;Floors!$E$4,Floors!$E$4, "-")</f>
        <v>#REF!</v>
      </c>
      <c r="I37" s="64" t="e">
        <f t="shared" si="4"/>
        <v>#REF!</v>
      </c>
      <c r="J37" s="184" t="e">
        <f>IF(I37="Y",VLOOKUP(B37,#REF!,2,FALSE)*1.1,"N/A ")</f>
        <v>#REF!</v>
      </c>
      <c r="K37" s="184" t="e">
        <f t="shared" si="0"/>
        <v>#REF!</v>
      </c>
      <c r="M37" s="184" t="e">
        <f t="shared" si="5"/>
        <v>#REF!</v>
      </c>
      <c r="N37" s="174" t="e">
        <f t="shared" si="1"/>
        <v>#REF!</v>
      </c>
      <c r="O37" s="172" t="e">
        <f t="shared" si="2"/>
        <v>#REF!</v>
      </c>
      <c r="P37" s="174" t="e">
        <f t="shared" si="11"/>
        <v>#REF!</v>
      </c>
      <c r="Q37" s="174" t="e">
        <f t="shared" si="6"/>
        <v>#REF!</v>
      </c>
      <c r="R37" s="175" t="e">
        <f t="shared" si="8"/>
        <v>#REF!</v>
      </c>
      <c r="S37" s="174" t="e">
        <f t="shared" si="9"/>
        <v>#REF!</v>
      </c>
      <c r="T37" s="174" t="e">
        <f t="shared" si="10"/>
        <v>#REF!</v>
      </c>
    </row>
    <row r="38" spans="1:20" ht="16.5" customHeight="1" x14ac:dyDescent="0.35">
      <c r="A38" s="64">
        <v>1</v>
      </c>
      <c r="B38" s="65" t="s">
        <v>15</v>
      </c>
      <c r="D38" s="181">
        <f>VLOOKUP(B38,'WF Need'!$B$7:$AB$64,27, FALSE)</f>
        <v>1548909.2863748549</v>
      </c>
      <c r="E38" s="91">
        <f t="shared" si="3"/>
        <v>5.8247157188593031E-4</v>
      </c>
      <c r="F38" s="8" t="e">
        <f>#REF!</f>
        <v>#REF!</v>
      </c>
      <c r="H38" s="187" t="e">
        <f>IF(F38&lt;Floors!$E$4,Floors!$E$4, "-")</f>
        <v>#REF!</v>
      </c>
      <c r="I38" s="64" t="e">
        <f t="shared" si="4"/>
        <v>#REF!</v>
      </c>
      <c r="J38" s="184" t="e">
        <f>IF(I38="Y",VLOOKUP(B38,#REF!,2,FALSE)*1.1,"N/A ")</f>
        <v>#REF!</v>
      </c>
      <c r="K38" s="184" t="e">
        <f t="shared" si="0"/>
        <v>#REF!</v>
      </c>
      <c r="M38" s="184" t="e">
        <f t="shared" si="5"/>
        <v>#REF!</v>
      </c>
      <c r="N38" s="174" t="e">
        <f t="shared" si="1"/>
        <v>#REF!</v>
      </c>
      <c r="O38" s="174" t="e">
        <f t="shared" si="2"/>
        <v>#REF!</v>
      </c>
      <c r="P38" s="174" t="e">
        <f t="shared" si="11"/>
        <v>#REF!</v>
      </c>
      <c r="Q38" s="174" t="e">
        <f t="shared" si="6"/>
        <v>#REF!</v>
      </c>
      <c r="R38" s="175" t="e">
        <f t="shared" si="8"/>
        <v>#REF!</v>
      </c>
      <c r="S38" s="174" t="e">
        <f t="shared" si="9"/>
        <v>#REF!</v>
      </c>
      <c r="T38" s="174" t="e">
        <f t="shared" si="10"/>
        <v>#REF!</v>
      </c>
    </row>
    <row r="39" spans="1:20" ht="16.5" customHeight="1" x14ac:dyDescent="0.35">
      <c r="A39" s="64">
        <v>4</v>
      </c>
      <c r="B39" s="65" t="s">
        <v>56</v>
      </c>
      <c r="D39" s="181">
        <f>VLOOKUP(B39,'WF Need'!$B$7:$AB$64,27, FALSE)</f>
        <v>148941934.91151911</v>
      </c>
      <c r="E39" s="91">
        <f t="shared" si="3"/>
        <v>5.6010021833292067E-2</v>
      </c>
      <c r="F39" s="8" t="e">
        <f>#REF!</f>
        <v>#REF!</v>
      </c>
      <c r="H39" s="187" t="e">
        <f>IF(F39&lt;Floors!$E$4,Floors!$E$4, "-")</f>
        <v>#REF!</v>
      </c>
      <c r="I39" s="64" t="e">
        <f t="shared" si="4"/>
        <v>#REF!</v>
      </c>
      <c r="J39" s="184" t="e">
        <f>IF(I39="Y",VLOOKUP(B39,#REF!,2,FALSE)*1.1,"N/A ")</f>
        <v>#REF!</v>
      </c>
      <c r="K39" s="184" t="e">
        <f t="shared" si="0"/>
        <v>#REF!</v>
      </c>
      <c r="M39" s="184" t="e">
        <f t="shared" si="5"/>
        <v>#REF!</v>
      </c>
      <c r="N39" s="174" t="e">
        <f t="shared" si="1"/>
        <v>#REF!</v>
      </c>
      <c r="O39" s="172" t="e">
        <f t="shared" si="2"/>
        <v>#REF!</v>
      </c>
      <c r="P39" s="174" t="e">
        <f t="shared" si="11"/>
        <v>#REF!</v>
      </c>
      <c r="Q39" s="174" t="e">
        <f t="shared" si="6"/>
        <v>#REF!</v>
      </c>
      <c r="R39" s="175" t="e">
        <f t="shared" si="8"/>
        <v>#REF!</v>
      </c>
      <c r="S39" s="174" t="e">
        <f t="shared" si="9"/>
        <v>#REF!</v>
      </c>
      <c r="T39" s="174" t="e">
        <f t="shared" si="10"/>
        <v>#REF!</v>
      </c>
    </row>
    <row r="40" spans="1:20" ht="16.5" customHeight="1" x14ac:dyDescent="0.35">
      <c r="A40" s="64">
        <v>4</v>
      </c>
      <c r="B40" s="65" t="s">
        <v>57</v>
      </c>
      <c r="D40" s="181">
        <f>VLOOKUP(B40,'WF Need'!$B$7:$AB$64,27, FALSE)</f>
        <v>116609119.54371148</v>
      </c>
      <c r="E40" s="91">
        <f t="shared" si="3"/>
        <v>4.3851178215753919E-2</v>
      </c>
      <c r="F40" s="8" t="e">
        <f>#REF!</f>
        <v>#REF!</v>
      </c>
      <c r="H40" s="187" t="e">
        <f>IF(F40&lt;Floors!$E$4,Floors!$E$4, "-")</f>
        <v>#REF!</v>
      </c>
      <c r="I40" s="64" t="e">
        <f t="shared" si="4"/>
        <v>#REF!</v>
      </c>
      <c r="J40" s="184" t="e">
        <f>IF(I40="Y",VLOOKUP(B40,#REF!,2,FALSE)*1.1,"N/A ")</f>
        <v>#REF!</v>
      </c>
      <c r="K40" s="184" t="e">
        <f t="shared" si="0"/>
        <v>#REF!</v>
      </c>
      <c r="M40" s="184" t="e">
        <f t="shared" si="5"/>
        <v>#REF!</v>
      </c>
      <c r="N40" s="174" t="e">
        <f t="shared" si="1"/>
        <v>#REF!</v>
      </c>
      <c r="O40" s="172" t="e">
        <f t="shared" si="2"/>
        <v>#REF!</v>
      </c>
      <c r="P40" s="174" t="e">
        <f t="shared" si="11"/>
        <v>#REF!</v>
      </c>
      <c r="Q40" s="174" t="e">
        <f t="shared" si="6"/>
        <v>#REF!</v>
      </c>
      <c r="R40" s="175" t="e">
        <f t="shared" si="8"/>
        <v>#REF!</v>
      </c>
      <c r="S40" s="174" t="e">
        <f t="shared" si="9"/>
        <v>#REF!</v>
      </c>
      <c r="T40" s="174" t="e">
        <f t="shared" si="10"/>
        <v>#REF!</v>
      </c>
    </row>
    <row r="41" spans="1:20" ht="16.5" customHeight="1" x14ac:dyDescent="0.35">
      <c r="A41" s="64">
        <v>1</v>
      </c>
      <c r="B41" s="65" t="s">
        <v>16</v>
      </c>
      <c r="D41" s="181">
        <f>VLOOKUP(B41,'WF Need'!$B$7:$AB$64,27, FALSE)</f>
        <v>3952945.4276397508</v>
      </c>
      <c r="E41" s="91">
        <f t="shared" si="3"/>
        <v>1.4865159354848097E-3</v>
      </c>
      <c r="F41" s="8" t="e">
        <f>#REF!</f>
        <v>#REF!</v>
      </c>
      <c r="H41" s="187" t="e">
        <f>IF(F41&lt;Floors!$E$4,Floors!$E$4, "-")</f>
        <v>#REF!</v>
      </c>
      <c r="I41" s="64" t="e">
        <f t="shared" si="4"/>
        <v>#REF!</v>
      </c>
      <c r="J41" s="184" t="e">
        <f>IF(I41="Y",VLOOKUP(B41,#REF!,2,FALSE)*1.1,"N/A ")</f>
        <v>#REF!</v>
      </c>
      <c r="K41" s="184" t="e">
        <f t="shared" si="0"/>
        <v>#REF!</v>
      </c>
      <c r="M41" s="184" t="e">
        <f t="shared" si="5"/>
        <v>#REF!</v>
      </c>
      <c r="N41" s="174" t="e">
        <f t="shared" si="1"/>
        <v>#REF!</v>
      </c>
      <c r="O41" s="172" t="e">
        <f t="shared" si="2"/>
        <v>#REF!</v>
      </c>
      <c r="P41" s="174" t="e">
        <f t="shared" si="11"/>
        <v>#REF!</v>
      </c>
      <c r="Q41" s="174" t="e">
        <f t="shared" si="6"/>
        <v>#REF!</v>
      </c>
      <c r="R41" s="175" t="e">
        <f t="shared" si="8"/>
        <v>#REF!</v>
      </c>
      <c r="S41" s="174" t="e">
        <f t="shared" si="9"/>
        <v>#REF!</v>
      </c>
      <c r="T41" s="174" t="e">
        <f t="shared" si="10"/>
        <v>#REF!</v>
      </c>
    </row>
    <row r="42" spans="1:20" ht="16.5" customHeight="1" x14ac:dyDescent="0.35">
      <c r="A42" s="64">
        <v>4</v>
      </c>
      <c r="B42" s="65" t="s">
        <v>58</v>
      </c>
      <c r="D42" s="181">
        <f>VLOOKUP(B42,'WF Need'!$B$7:$AB$64,27, FALSE)</f>
        <v>151789229.92966557</v>
      </c>
      <c r="E42" s="91">
        <f t="shared" si="3"/>
        <v>5.7080754909419662E-2</v>
      </c>
      <c r="F42" s="8" t="e">
        <f>#REF!</f>
        <v>#REF!</v>
      </c>
      <c r="H42" s="187" t="e">
        <f>IF(F42&lt;Floors!$E$4,Floors!$E$4, "-")</f>
        <v>#REF!</v>
      </c>
      <c r="I42" s="64" t="e">
        <f t="shared" si="4"/>
        <v>#REF!</v>
      </c>
      <c r="J42" s="184" t="e">
        <f>IF(I42="Y",VLOOKUP(B42,#REF!,2,FALSE)*1.1,"N/A ")</f>
        <v>#REF!</v>
      </c>
      <c r="K42" s="184" t="e">
        <f t="shared" si="0"/>
        <v>#REF!</v>
      </c>
      <c r="M42" s="184" t="e">
        <f t="shared" si="5"/>
        <v>#REF!</v>
      </c>
      <c r="N42" s="174" t="e">
        <f t="shared" si="1"/>
        <v>#REF!</v>
      </c>
      <c r="O42" s="172" t="e">
        <f t="shared" si="2"/>
        <v>#REF!</v>
      </c>
      <c r="P42" s="174" t="e">
        <f>IF(M42="n/a",(IF(AND(H42=750000,(F42&gt;750000)), H42-F42, 0)),M42-F42)</f>
        <v>#REF!</v>
      </c>
      <c r="Q42" s="174" t="e">
        <f t="shared" si="6"/>
        <v>#REF!</v>
      </c>
      <c r="R42" s="175" t="e">
        <f t="shared" si="8"/>
        <v>#REF!</v>
      </c>
      <c r="S42" s="174" t="e">
        <f t="shared" si="9"/>
        <v>#REF!</v>
      </c>
      <c r="T42" s="174" t="e">
        <f t="shared" si="10"/>
        <v>#REF!</v>
      </c>
    </row>
    <row r="43" spans="1:20" ht="16.5" customHeight="1" x14ac:dyDescent="0.35">
      <c r="A43" s="64">
        <v>4</v>
      </c>
      <c r="B43" s="65" t="s">
        <v>59</v>
      </c>
      <c r="D43" s="181">
        <f>VLOOKUP(B43,'WF Need'!$B$7:$AB$64,27, FALSE)</f>
        <v>185202538.71072969</v>
      </c>
      <c r="E43" s="91">
        <f t="shared" si="3"/>
        <v>6.9645921029100513E-2</v>
      </c>
      <c r="F43" s="8" t="e">
        <f>#REF!</f>
        <v>#REF!</v>
      </c>
      <c r="H43" s="187" t="e">
        <f>IF(F43&lt;Floors!$E$4,Floors!$E$4, "-")</f>
        <v>#REF!</v>
      </c>
      <c r="I43" s="64" t="e">
        <f t="shared" si="4"/>
        <v>#REF!</v>
      </c>
      <c r="J43" s="184" t="e">
        <f>IF(I43="Y",VLOOKUP(B43,#REF!,2,FALSE)*1.1,"N/A ")</f>
        <v>#REF!</v>
      </c>
      <c r="K43" s="184" t="e">
        <f t="shared" si="0"/>
        <v>#REF!</v>
      </c>
      <c r="M43" s="184" t="e">
        <f t="shared" si="5"/>
        <v>#REF!</v>
      </c>
      <c r="N43" s="174" t="e">
        <f t="shared" si="1"/>
        <v>#REF!</v>
      </c>
      <c r="O43" s="172" t="e">
        <f t="shared" si="2"/>
        <v>#REF!</v>
      </c>
      <c r="P43" s="174" t="e">
        <f>IF(M43="n/a",(IF(AND(H43=750000,(F43&gt;750000)), H43-F43, 0)),M43-F43)</f>
        <v>#REF!</v>
      </c>
      <c r="Q43" s="174" t="e">
        <f t="shared" si="6"/>
        <v>#REF!</v>
      </c>
      <c r="R43" s="175" t="e">
        <f t="shared" si="8"/>
        <v>#REF!</v>
      </c>
      <c r="S43" s="174" t="e">
        <f t="shared" si="9"/>
        <v>#REF!</v>
      </c>
      <c r="T43" s="174" t="e">
        <f t="shared" si="10"/>
        <v>#REF!</v>
      </c>
    </row>
    <row r="44" spans="1:20" ht="16.5" customHeight="1" x14ac:dyDescent="0.35">
      <c r="A44" s="64">
        <v>4</v>
      </c>
      <c r="B44" s="65" t="s">
        <v>60</v>
      </c>
      <c r="D44" s="181">
        <f>VLOOKUP(B44,'WF Need'!$B$7:$AB$64,27, FALSE)</f>
        <v>52730195.85108047</v>
      </c>
      <c r="E44" s="91">
        <f t="shared" si="3"/>
        <v>1.9829334315062449E-2</v>
      </c>
      <c r="F44" s="8" t="e">
        <f>#REF!</f>
        <v>#REF!</v>
      </c>
      <c r="H44" s="187" t="e">
        <f>IF(F44&lt;Floors!$E$4,Floors!$E$4, "-")</f>
        <v>#REF!</v>
      </c>
      <c r="I44" s="64" t="e">
        <f t="shared" si="4"/>
        <v>#REF!</v>
      </c>
      <c r="J44" s="184" t="e">
        <f>IF(I44="Y",VLOOKUP(B44,#REF!,2,FALSE)*1.1,"N/A ")</f>
        <v>#REF!</v>
      </c>
      <c r="K44" s="184" t="e">
        <f t="shared" si="0"/>
        <v>#REF!</v>
      </c>
      <c r="M44" s="184" t="e">
        <f t="shared" si="5"/>
        <v>#REF!</v>
      </c>
      <c r="N44" s="174" t="e">
        <f t="shared" si="1"/>
        <v>#REF!</v>
      </c>
      <c r="O44" s="172" t="e">
        <f t="shared" si="2"/>
        <v>#REF!</v>
      </c>
      <c r="P44" s="174" t="e">
        <f t="shared" ref="P44:P54" si="12">IF(M44="n/a",(IF(AND(H44=750000,(F44&gt;750000)), H44-F44, 0)),M44-F44)</f>
        <v>#REF!</v>
      </c>
      <c r="Q44" s="174" t="e">
        <f t="shared" si="6"/>
        <v>#REF!</v>
      </c>
      <c r="R44" s="175" t="e">
        <f t="shared" si="8"/>
        <v>#REF!</v>
      </c>
      <c r="S44" s="174" t="e">
        <f t="shared" si="9"/>
        <v>#REF!</v>
      </c>
      <c r="T44" s="174" t="e">
        <f t="shared" si="10"/>
        <v>#REF!</v>
      </c>
    </row>
    <row r="45" spans="1:20" ht="16.5" customHeight="1" x14ac:dyDescent="0.35">
      <c r="A45" s="64">
        <v>3</v>
      </c>
      <c r="B45" s="65" t="s">
        <v>45</v>
      </c>
      <c r="D45" s="181">
        <f>VLOOKUP(B45,'WF Need'!$B$7:$AB$64,27, FALSE)</f>
        <v>52662950.192764081</v>
      </c>
      <c r="E45" s="91">
        <f t="shared" si="3"/>
        <v>1.9804046401401786E-2</v>
      </c>
      <c r="F45" s="8" t="e">
        <f>#REF!</f>
        <v>#REF!</v>
      </c>
      <c r="H45" s="187" t="e">
        <f>IF(F45&lt;Floors!$E$4,Floors!$E$4, "-")</f>
        <v>#REF!</v>
      </c>
      <c r="I45" s="64" t="e">
        <f t="shared" si="4"/>
        <v>#REF!</v>
      </c>
      <c r="J45" s="184" t="e">
        <f>IF(I45="Y",VLOOKUP(B45,#REF!,2,FALSE)*1.1,"N/A ")</f>
        <v>#REF!</v>
      </c>
      <c r="K45" s="184" t="e">
        <f t="shared" si="0"/>
        <v>#REF!</v>
      </c>
      <c r="M45" s="184" t="e">
        <f t="shared" si="5"/>
        <v>#REF!</v>
      </c>
      <c r="N45" s="174" t="e">
        <f t="shared" si="1"/>
        <v>#REF!</v>
      </c>
      <c r="O45" s="172" t="e">
        <f t="shared" si="2"/>
        <v>#REF!</v>
      </c>
      <c r="P45" s="174" t="e">
        <f t="shared" si="12"/>
        <v>#REF!</v>
      </c>
      <c r="Q45" s="174" t="e">
        <f t="shared" si="6"/>
        <v>#REF!</v>
      </c>
      <c r="R45" s="175" t="e">
        <f t="shared" si="8"/>
        <v>#REF!</v>
      </c>
      <c r="S45" s="174" t="e">
        <f t="shared" si="9"/>
        <v>#REF!</v>
      </c>
      <c r="T45" s="174" t="e">
        <f t="shared" si="10"/>
        <v>#REF!</v>
      </c>
    </row>
    <row r="46" spans="1:20" ht="16.5" customHeight="1" x14ac:dyDescent="0.35">
      <c r="A46" s="64">
        <v>2</v>
      </c>
      <c r="B46" s="65" t="s">
        <v>32</v>
      </c>
      <c r="D46" s="181">
        <f>VLOOKUP(B46,'WF Need'!$B$7:$AB$64,27, FALSE)</f>
        <v>19188902.409859862</v>
      </c>
      <c r="E46" s="91">
        <f t="shared" si="3"/>
        <v>7.2160392140174839E-3</v>
      </c>
      <c r="F46" s="8" t="e">
        <f>#REF!</f>
        <v>#REF!</v>
      </c>
      <c r="H46" s="187" t="e">
        <f>IF(F46&lt;Floors!$E$4,Floors!$E$4, "-")</f>
        <v>#REF!</v>
      </c>
      <c r="I46" s="64" t="e">
        <f t="shared" si="4"/>
        <v>#REF!</v>
      </c>
      <c r="J46" s="184" t="e">
        <f>IF(I46="Y",VLOOKUP(B46,#REF!,2,FALSE)*1.1,"N/A ")</f>
        <v>#REF!</v>
      </c>
      <c r="K46" s="184" t="e">
        <f t="shared" si="0"/>
        <v>#REF!</v>
      </c>
      <c r="M46" s="184" t="e">
        <f t="shared" si="5"/>
        <v>#REF!</v>
      </c>
      <c r="N46" s="174" t="e">
        <f t="shared" si="1"/>
        <v>#REF!</v>
      </c>
      <c r="O46" s="172" t="e">
        <f t="shared" si="2"/>
        <v>#REF!</v>
      </c>
      <c r="P46" s="174" t="e">
        <f t="shared" si="12"/>
        <v>#REF!</v>
      </c>
      <c r="Q46" s="174" t="e">
        <f t="shared" si="6"/>
        <v>#REF!</v>
      </c>
      <c r="R46" s="175" t="e">
        <f t="shared" si="8"/>
        <v>#REF!</v>
      </c>
      <c r="S46" s="174" t="e">
        <f t="shared" si="9"/>
        <v>#REF!</v>
      </c>
      <c r="T46" s="174" t="e">
        <f t="shared" si="10"/>
        <v>#REF!</v>
      </c>
    </row>
    <row r="47" spans="1:20" ht="16.5" customHeight="1" x14ac:dyDescent="0.35">
      <c r="A47" s="64">
        <v>3</v>
      </c>
      <c r="B47" s="65" t="s">
        <v>46</v>
      </c>
      <c r="D47" s="181">
        <f>VLOOKUP(B47,'WF Need'!$B$7:$AB$64,27, FALSE)</f>
        <v>49452193.984779567</v>
      </c>
      <c r="E47" s="91">
        <f t="shared" si="3"/>
        <v>1.8596632751126434E-2</v>
      </c>
      <c r="F47" s="8" t="e">
        <f>#REF!</f>
        <v>#REF!</v>
      </c>
      <c r="H47" s="187" t="e">
        <f>IF(F47&lt;Floors!$E$4,Floors!$E$4, "-")</f>
        <v>#REF!</v>
      </c>
      <c r="I47" s="64" t="e">
        <f t="shared" si="4"/>
        <v>#REF!</v>
      </c>
      <c r="J47" s="184" t="e">
        <f>IF(I47="Y",VLOOKUP(B47,#REF!,2,FALSE)*1.1,"N/A ")</f>
        <v>#REF!</v>
      </c>
      <c r="K47" s="184" t="e">
        <f t="shared" si="0"/>
        <v>#REF!</v>
      </c>
      <c r="M47" s="184" t="e">
        <f t="shared" si="5"/>
        <v>#REF!</v>
      </c>
      <c r="N47" s="174" t="e">
        <f t="shared" si="1"/>
        <v>#REF!</v>
      </c>
      <c r="O47" s="172" t="e">
        <f t="shared" si="2"/>
        <v>#REF!</v>
      </c>
      <c r="P47" s="174" t="e">
        <f t="shared" si="12"/>
        <v>#REF!</v>
      </c>
      <c r="Q47" s="174" t="e">
        <f t="shared" si="6"/>
        <v>#REF!</v>
      </c>
      <c r="R47" s="175" t="e">
        <f t="shared" si="8"/>
        <v>#REF!</v>
      </c>
      <c r="S47" s="174" t="e">
        <f t="shared" si="9"/>
        <v>#REF!</v>
      </c>
      <c r="T47" s="174" t="e">
        <f t="shared" si="10"/>
        <v>#REF!</v>
      </c>
    </row>
    <row r="48" spans="1:20" ht="16.5" customHeight="1" x14ac:dyDescent="0.35">
      <c r="A48" s="64">
        <v>3</v>
      </c>
      <c r="B48" s="65" t="s">
        <v>47</v>
      </c>
      <c r="D48" s="181">
        <f>VLOOKUP(B48,'WF Need'!$B$7:$AB$64,27, FALSE)</f>
        <v>28421721.865567524</v>
      </c>
      <c r="E48" s="91">
        <f t="shared" si="3"/>
        <v>1.0688066213023761E-2</v>
      </c>
      <c r="F48" s="8" t="e">
        <f>#REF!</f>
        <v>#REF!</v>
      </c>
      <c r="H48" s="187" t="e">
        <f>IF(F48&lt;Floors!$E$4,Floors!$E$4, "-")</f>
        <v>#REF!</v>
      </c>
      <c r="I48" s="64" t="e">
        <f t="shared" si="4"/>
        <v>#REF!</v>
      </c>
      <c r="J48" s="184" t="e">
        <f>IF(I48="Y",VLOOKUP(B48,#REF!,2,FALSE)*1.1,"N/A ")</f>
        <v>#REF!</v>
      </c>
      <c r="K48" s="184" t="e">
        <f t="shared" si="0"/>
        <v>#REF!</v>
      </c>
      <c r="M48" s="184" t="e">
        <f t="shared" si="5"/>
        <v>#REF!</v>
      </c>
      <c r="N48" s="174" t="e">
        <f t="shared" si="1"/>
        <v>#REF!</v>
      </c>
      <c r="O48" s="172" t="e">
        <f t="shared" si="2"/>
        <v>#REF!</v>
      </c>
      <c r="P48" s="174" t="e">
        <f t="shared" si="12"/>
        <v>#REF!</v>
      </c>
      <c r="Q48" s="174" t="e">
        <f t="shared" si="6"/>
        <v>#REF!</v>
      </c>
      <c r="R48" s="175" t="e">
        <f t="shared" si="8"/>
        <v>#REF!</v>
      </c>
      <c r="S48" s="174" t="e">
        <f t="shared" si="9"/>
        <v>#REF!</v>
      </c>
      <c r="T48" s="174" t="e">
        <f t="shared" si="10"/>
        <v>#REF!</v>
      </c>
    </row>
    <row r="49" spans="1:20" ht="16.5" customHeight="1" x14ac:dyDescent="0.35">
      <c r="A49" s="64">
        <v>4</v>
      </c>
      <c r="B49" s="65" t="s">
        <v>61</v>
      </c>
      <c r="D49" s="181">
        <f>VLOOKUP(B49,'WF Need'!$B$7:$AB$64,27, FALSE)</f>
        <v>96965024.101496458</v>
      </c>
      <c r="E49" s="91">
        <f t="shared" si="3"/>
        <v>3.6463962417413683E-2</v>
      </c>
      <c r="F49" s="8" t="e">
        <f>#REF!</f>
        <v>#REF!</v>
      </c>
      <c r="H49" s="187" t="e">
        <f>IF(F49&lt;Floors!$E$4,Floors!$E$4, "-")</f>
        <v>#REF!</v>
      </c>
      <c r="I49" s="64" t="e">
        <f t="shared" si="4"/>
        <v>#REF!</v>
      </c>
      <c r="J49" s="184" t="e">
        <f>IF(I49="Y",VLOOKUP(B49,#REF!,2,FALSE)*1.1,"N/A ")</f>
        <v>#REF!</v>
      </c>
      <c r="K49" s="184" t="e">
        <f t="shared" si="0"/>
        <v>#REF!</v>
      </c>
      <c r="M49" s="184" t="e">
        <f t="shared" si="5"/>
        <v>#REF!</v>
      </c>
      <c r="N49" s="174" t="e">
        <f t="shared" si="1"/>
        <v>#REF!</v>
      </c>
      <c r="O49" s="172" t="e">
        <f t="shared" si="2"/>
        <v>#REF!</v>
      </c>
      <c r="P49" s="174" t="e">
        <f t="shared" si="12"/>
        <v>#REF!</v>
      </c>
      <c r="Q49" s="174" t="e">
        <f t="shared" si="6"/>
        <v>#REF!</v>
      </c>
      <c r="R49" s="175" t="e">
        <f t="shared" si="8"/>
        <v>#REF!</v>
      </c>
      <c r="S49" s="174" t="e">
        <f t="shared" si="9"/>
        <v>#REF!</v>
      </c>
      <c r="T49" s="174" t="e">
        <f t="shared" si="10"/>
        <v>#REF!</v>
      </c>
    </row>
    <row r="50" spans="1:20" ht="16.5" customHeight="1" x14ac:dyDescent="0.35">
      <c r="A50" s="64">
        <v>2</v>
      </c>
      <c r="B50" s="65" t="s">
        <v>33</v>
      </c>
      <c r="D50" s="181">
        <f>VLOOKUP(B50,'WF Need'!$B$7:$AB$64,27, FALSE)</f>
        <v>17092255.826901093</v>
      </c>
      <c r="E50" s="91">
        <f t="shared" si="3"/>
        <v>6.4275895342279701E-3</v>
      </c>
      <c r="F50" s="8" t="e">
        <f>#REF!</f>
        <v>#REF!</v>
      </c>
      <c r="H50" s="187" t="e">
        <f>IF(F50&lt;Floors!$E$4,Floors!$E$4, "-")</f>
        <v>#REF!</v>
      </c>
      <c r="I50" s="64" t="e">
        <f t="shared" si="4"/>
        <v>#REF!</v>
      </c>
      <c r="J50" s="184" t="e">
        <f>IF(I50="Y",VLOOKUP(B50,#REF!,2,FALSE)*1.1,"N/A ")</f>
        <v>#REF!</v>
      </c>
      <c r="K50" s="184" t="e">
        <f t="shared" si="0"/>
        <v>#REF!</v>
      </c>
      <c r="M50" s="184" t="e">
        <f t="shared" si="5"/>
        <v>#REF!</v>
      </c>
      <c r="N50" s="174" t="e">
        <f t="shared" si="1"/>
        <v>#REF!</v>
      </c>
      <c r="O50" s="172" t="e">
        <f t="shared" si="2"/>
        <v>#REF!</v>
      </c>
      <c r="P50" s="174" t="e">
        <f t="shared" si="12"/>
        <v>#REF!</v>
      </c>
      <c r="Q50" s="174" t="e">
        <f t="shared" si="6"/>
        <v>#REF!</v>
      </c>
      <c r="R50" s="175" t="e">
        <f t="shared" si="8"/>
        <v>#REF!</v>
      </c>
      <c r="S50" s="174" t="e">
        <f t="shared" si="9"/>
        <v>#REF!</v>
      </c>
      <c r="T50" s="174" t="e">
        <f t="shared" si="10"/>
        <v>#REF!</v>
      </c>
    </row>
    <row r="51" spans="1:20" ht="16.5" customHeight="1" x14ac:dyDescent="0.35">
      <c r="A51" s="64">
        <v>2</v>
      </c>
      <c r="B51" s="65" t="s">
        <v>34</v>
      </c>
      <c r="D51" s="181">
        <f>VLOOKUP(B51,'WF Need'!$B$7:$AB$64,27, FALSE)</f>
        <v>17062242.170704372</v>
      </c>
      <c r="E51" s="91">
        <f t="shared" si="3"/>
        <v>6.4163028167573402E-3</v>
      </c>
      <c r="F51" s="8" t="e">
        <f>#REF!</f>
        <v>#REF!</v>
      </c>
      <c r="H51" s="187" t="e">
        <f>IF(F51&lt;Floors!$E$4,Floors!$E$4, "-")</f>
        <v>#REF!</v>
      </c>
      <c r="I51" s="64" t="e">
        <f t="shared" si="4"/>
        <v>#REF!</v>
      </c>
      <c r="J51" s="184" t="e">
        <f>IF(I51="Y",VLOOKUP(B51,#REF!,2,FALSE)*1.1,"N/A ")</f>
        <v>#REF!</v>
      </c>
      <c r="K51" s="184" t="e">
        <f t="shared" si="0"/>
        <v>#REF!</v>
      </c>
      <c r="M51" s="184" t="e">
        <f t="shared" si="5"/>
        <v>#REF!</v>
      </c>
      <c r="N51" s="174" t="e">
        <f t="shared" si="1"/>
        <v>#REF!</v>
      </c>
      <c r="O51" s="172" t="e">
        <f t="shared" si="2"/>
        <v>#REF!</v>
      </c>
      <c r="P51" s="174" t="e">
        <f t="shared" si="12"/>
        <v>#REF!</v>
      </c>
      <c r="Q51" s="174" t="e">
        <f t="shared" si="6"/>
        <v>#REF!</v>
      </c>
      <c r="R51" s="175" t="e">
        <f t="shared" si="8"/>
        <v>#REF!</v>
      </c>
      <c r="S51" s="174" t="e">
        <f t="shared" si="9"/>
        <v>#REF!</v>
      </c>
      <c r="T51" s="174" t="e">
        <f t="shared" si="10"/>
        <v>#REF!</v>
      </c>
    </row>
    <row r="52" spans="1:20" ht="16.5" customHeight="1" x14ac:dyDescent="0.35">
      <c r="A52" s="64">
        <v>1</v>
      </c>
      <c r="B52" s="65" t="s">
        <v>17</v>
      </c>
      <c r="D52" s="181">
        <f>VLOOKUP(B52,'WF Need'!$B$7:$AB$64,27, FALSE)</f>
        <v>447005.85047201556</v>
      </c>
      <c r="E52" s="91">
        <f t="shared" si="3"/>
        <v>1.6809777219169551E-4</v>
      </c>
      <c r="F52" s="8" t="e">
        <f>#REF!</f>
        <v>#REF!</v>
      </c>
      <c r="H52" s="187" t="e">
        <f>IF(F52&lt;Floors!$E$4,Floors!$E$4, "-")</f>
        <v>#REF!</v>
      </c>
      <c r="I52" s="64" t="e">
        <f t="shared" si="4"/>
        <v>#REF!</v>
      </c>
      <c r="J52" s="184" t="e">
        <f>IF(I52="Y",VLOOKUP(B52,#REF!,2,FALSE)*1.1,"N/A ")</f>
        <v>#REF!</v>
      </c>
      <c r="K52" s="184" t="e">
        <f>IF(I52="Y",F52, "N/A ")</f>
        <v>#REF!</v>
      </c>
      <c r="M52" s="185" t="e">
        <f t="shared" si="5"/>
        <v>#REF!</v>
      </c>
      <c r="N52" s="174" t="e">
        <f t="shared" si="1"/>
        <v>#REF!</v>
      </c>
      <c r="O52" s="174" t="e">
        <f t="shared" si="2"/>
        <v>#REF!</v>
      </c>
      <c r="P52" s="174" t="e">
        <f t="shared" si="12"/>
        <v>#REF!</v>
      </c>
      <c r="Q52" s="174" t="e">
        <f t="shared" si="6"/>
        <v>#REF!</v>
      </c>
      <c r="R52" s="175" t="e">
        <f t="shared" si="8"/>
        <v>#REF!</v>
      </c>
      <c r="S52" s="174" t="e">
        <f t="shared" si="9"/>
        <v>#REF!</v>
      </c>
      <c r="T52" s="174" t="e">
        <f t="shared" si="10"/>
        <v>#REF!</v>
      </c>
    </row>
    <row r="53" spans="1:20" ht="16.5" customHeight="1" x14ac:dyDescent="0.35">
      <c r="A53" s="64">
        <v>2</v>
      </c>
      <c r="B53" s="65" t="s">
        <v>35</v>
      </c>
      <c r="D53" s="181">
        <f>VLOOKUP(B53,'WF Need'!$B$7:$AB$64,27, FALSE)</f>
        <v>4784618.8205178576</v>
      </c>
      <c r="E53" s="91">
        <f t="shared" si="3"/>
        <v>1.7992689886860021E-3</v>
      </c>
      <c r="F53" s="8" t="e">
        <f>#REF!</f>
        <v>#REF!</v>
      </c>
      <c r="H53" s="187" t="e">
        <f>IF(F53&lt;Floors!$E$4,Floors!$E$4, "-")</f>
        <v>#REF!</v>
      </c>
      <c r="I53" s="64" t="e">
        <f t="shared" si="4"/>
        <v>#REF!</v>
      </c>
      <c r="J53" s="184" t="e">
        <f>IF(I53="Y",VLOOKUP(B53,#REF!,2,FALSE)*1.1,"N/A ")</f>
        <v>#REF!</v>
      </c>
      <c r="K53" s="184" t="e">
        <f t="shared" si="0"/>
        <v>#REF!</v>
      </c>
      <c r="M53" s="184" t="e">
        <f t="shared" si="5"/>
        <v>#REF!</v>
      </c>
      <c r="N53" s="174" t="e">
        <f t="shared" si="1"/>
        <v>#REF!</v>
      </c>
      <c r="O53" s="172" t="e">
        <f t="shared" si="2"/>
        <v>#REF!</v>
      </c>
      <c r="P53" s="174" t="e">
        <f t="shared" si="12"/>
        <v>#REF!</v>
      </c>
      <c r="Q53" s="174" t="e">
        <f t="shared" si="6"/>
        <v>#REF!</v>
      </c>
      <c r="R53" s="175" t="e">
        <f t="shared" si="8"/>
        <v>#REF!</v>
      </c>
      <c r="S53" s="174" t="e">
        <f t="shared" si="9"/>
        <v>#REF!</v>
      </c>
      <c r="T53" s="174" t="e">
        <f t="shared" si="10"/>
        <v>#REF!</v>
      </c>
    </row>
    <row r="54" spans="1:20" ht="16.5" customHeight="1" x14ac:dyDescent="0.35">
      <c r="A54" s="64">
        <v>3</v>
      </c>
      <c r="B54" s="65" t="s">
        <v>48</v>
      </c>
      <c r="D54" s="181">
        <f>VLOOKUP(B54,'WF Need'!$B$7:$AB$64,27, FALSE)</f>
        <v>31325060.340073947</v>
      </c>
      <c r="E54" s="91">
        <f t="shared" si="3"/>
        <v>1.1779874584139295E-2</v>
      </c>
      <c r="F54" s="8" t="e">
        <f>#REF!</f>
        <v>#REF!</v>
      </c>
      <c r="H54" s="187" t="e">
        <f>IF(F54&lt;Floors!$E$4,Floors!$E$4, "-")</f>
        <v>#REF!</v>
      </c>
      <c r="I54" s="64" t="e">
        <f t="shared" si="4"/>
        <v>#REF!</v>
      </c>
      <c r="J54" s="184" t="e">
        <f>IF(I54="Y",VLOOKUP(B54,#REF!,2,FALSE)*1.1,"N/A ")</f>
        <v>#REF!</v>
      </c>
      <c r="K54" s="184" t="e">
        <f t="shared" si="0"/>
        <v>#REF!</v>
      </c>
      <c r="M54" s="184" t="e">
        <f t="shared" si="5"/>
        <v>#REF!</v>
      </c>
      <c r="N54" s="174" t="e">
        <f t="shared" si="1"/>
        <v>#REF!</v>
      </c>
      <c r="O54" s="172" t="e">
        <f t="shared" si="2"/>
        <v>#REF!</v>
      </c>
      <c r="P54" s="174" t="e">
        <f t="shared" si="12"/>
        <v>#REF!</v>
      </c>
      <c r="Q54" s="174" t="e">
        <f t="shared" si="6"/>
        <v>#REF!</v>
      </c>
      <c r="R54" s="175" t="e">
        <f t="shared" si="8"/>
        <v>#REF!</v>
      </c>
      <c r="S54" s="174" t="e">
        <f t="shared" si="9"/>
        <v>#REF!</v>
      </c>
      <c r="T54" s="174" t="e">
        <f t="shared" si="10"/>
        <v>#REF!</v>
      </c>
    </row>
    <row r="55" spans="1:20" ht="16.5" customHeight="1" x14ac:dyDescent="0.35">
      <c r="A55" s="64">
        <v>3</v>
      </c>
      <c r="B55" s="65" t="s">
        <v>49</v>
      </c>
      <c r="D55" s="181">
        <f>VLOOKUP(B55,'WF Need'!$B$7:$AB$64,27, FALSE)</f>
        <v>30618987.893071949</v>
      </c>
      <c r="E55" s="91">
        <f t="shared" si="3"/>
        <v>1.1514354110029964E-2</v>
      </c>
      <c r="F55" s="8" t="e">
        <f>#REF!</f>
        <v>#REF!</v>
      </c>
      <c r="H55" s="187" t="e">
        <f>IF(F55&lt;Floors!$E$4,Floors!$E$4, "-")</f>
        <v>#REF!</v>
      </c>
      <c r="I55" s="64" t="e">
        <f t="shared" si="4"/>
        <v>#REF!</v>
      </c>
      <c r="J55" s="184" t="e">
        <f>IF(I55="Y",VLOOKUP(B55,#REF!,2,FALSE)*1.1,"N/A ")</f>
        <v>#REF!</v>
      </c>
      <c r="K55" s="184" t="e">
        <f t="shared" si="0"/>
        <v>#REF!</v>
      </c>
      <c r="M55" s="184" t="e">
        <f t="shared" si="5"/>
        <v>#REF!</v>
      </c>
      <c r="N55" s="174" t="e">
        <f t="shared" si="1"/>
        <v>#REF!</v>
      </c>
      <c r="O55" s="172" t="e">
        <f t="shared" si="2"/>
        <v>#REF!</v>
      </c>
      <c r="P55" s="174" t="e">
        <f>IF(M55="n/a",(IF(AND(H55=750000,(F55&gt;750000)), H55-F55, 0)),M55-F55)</f>
        <v>#REF!</v>
      </c>
      <c r="Q55" s="174" t="e">
        <f t="shared" si="6"/>
        <v>#REF!</v>
      </c>
      <c r="R55" s="175" t="e">
        <f t="shared" si="8"/>
        <v>#REF!</v>
      </c>
      <c r="S55" s="174" t="e">
        <f t="shared" si="9"/>
        <v>#REF!</v>
      </c>
      <c r="T55" s="174" t="e">
        <f t="shared" si="10"/>
        <v>#REF!</v>
      </c>
    </row>
    <row r="56" spans="1:20" ht="16.5" customHeight="1" x14ac:dyDescent="0.35">
      <c r="A56" s="64">
        <v>3</v>
      </c>
      <c r="B56" s="65" t="s">
        <v>50</v>
      </c>
      <c r="D56" s="181">
        <f>VLOOKUP(B56,'WF Need'!$B$7:$AB$64,27, FALSE)</f>
        <v>34469128.984439082</v>
      </c>
      <c r="E56" s="91">
        <f t="shared" si="3"/>
        <v>1.2962210193790629E-2</v>
      </c>
      <c r="F56" s="8" t="e">
        <f>#REF!</f>
        <v>#REF!</v>
      </c>
      <c r="H56" s="187" t="e">
        <f>IF(F56&lt;Floors!$E$4,Floors!$E$4, "-")</f>
        <v>#REF!</v>
      </c>
      <c r="I56" s="64" t="e">
        <f t="shared" si="4"/>
        <v>#REF!</v>
      </c>
      <c r="J56" s="184" t="e">
        <f>IF(I56="Y",VLOOKUP(B56,#REF!,2,FALSE)*1.1,"N/A ")</f>
        <v>#REF!</v>
      </c>
      <c r="K56" s="184" t="e">
        <f t="shared" si="0"/>
        <v>#REF!</v>
      </c>
      <c r="M56" s="184" t="e">
        <f t="shared" si="5"/>
        <v>#REF!</v>
      </c>
      <c r="N56" s="174" t="e">
        <f t="shared" si="1"/>
        <v>#REF!</v>
      </c>
      <c r="O56" s="172" t="e">
        <f t="shared" si="2"/>
        <v>#REF!</v>
      </c>
      <c r="P56" s="174" t="e">
        <f>IF(M56="n/a",(IF(AND(H56=750000,(F56&gt;750000)), H56-F56, 0)),M56-F56)</f>
        <v>#REF!</v>
      </c>
      <c r="Q56" s="174" t="e">
        <f t="shared" si="6"/>
        <v>#REF!</v>
      </c>
      <c r="R56" s="175" t="e">
        <f t="shared" si="8"/>
        <v>#REF!</v>
      </c>
      <c r="S56" s="174" t="e">
        <f t="shared" si="9"/>
        <v>#REF!</v>
      </c>
      <c r="T56" s="174" t="e">
        <f t="shared" si="10"/>
        <v>#REF!</v>
      </c>
    </row>
    <row r="57" spans="1:20" ht="16.5" customHeight="1" x14ac:dyDescent="0.35">
      <c r="A57" s="64">
        <v>2</v>
      </c>
      <c r="B57" s="65" t="s">
        <v>36</v>
      </c>
      <c r="D57" s="181">
        <f>VLOOKUP(B57,'WF Need'!$B$7:$AB$64,27, FALSE)</f>
        <v>9151366.957197303</v>
      </c>
      <c r="E57" s="91">
        <f t="shared" si="3"/>
        <v>3.4413965642489225E-3</v>
      </c>
      <c r="F57" s="8" t="e">
        <f>#REF!</f>
        <v>#REF!</v>
      </c>
      <c r="H57" s="187" t="e">
        <f>IF(F57&lt;Floors!$E$4,Floors!$E$4, "-")</f>
        <v>#REF!</v>
      </c>
      <c r="I57" s="64" t="e">
        <f t="shared" si="4"/>
        <v>#REF!</v>
      </c>
      <c r="J57" s="184" t="e">
        <f>IF(I57="Y",VLOOKUP(B57,#REF!,2,FALSE)*1.1,"N/A ")</f>
        <v>#REF!</v>
      </c>
      <c r="K57" s="184" t="e">
        <f t="shared" si="0"/>
        <v>#REF!</v>
      </c>
      <c r="M57" s="184" t="e">
        <f t="shared" si="5"/>
        <v>#REF!</v>
      </c>
      <c r="N57" s="174" t="e">
        <f t="shared" si="1"/>
        <v>#REF!</v>
      </c>
      <c r="O57" s="172" t="e">
        <f t="shared" si="2"/>
        <v>#REF!</v>
      </c>
      <c r="P57" s="174" t="e">
        <f t="shared" ref="P57:P64" si="13">IF(M57="n/a",(IF(AND(H57=750000,(F57&gt;750000)), H57-F57, 0)),M57-F57)</f>
        <v>#REF!</v>
      </c>
      <c r="Q57" s="174" t="e">
        <f t="shared" si="6"/>
        <v>#REF!</v>
      </c>
      <c r="R57" s="175" t="e">
        <f t="shared" si="8"/>
        <v>#REF!</v>
      </c>
      <c r="S57" s="174" t="e">
        <f t="shared" si="9"/>
        <v>#REF!</v>
      </c>
      <c r="T57" s="174" t="e">
        <f t="shared" si="10"/>
        <v>#REF!</v>
      </c>
    </row>
    <row r="58" spans="1:20" ht="16.5" customHeight="1" x14ac:dyDescent="0.35">
      <c r="A58" s="64">
        <v>2</v>
      </c>
      <c r="B58" s="65" t="s">
        <v>37</v>
      </c>
      <c r="D58" s="181">
        <f>VLOOKUP(B58,'WF Need'!$B$7:$AB$64,27, FALSE)</f>
        <v>6383645.0067075761</v>
      </c>
      <c r="E58" s="91">
        <f t="shared" si="3"/>
        <v>2.4005871577677789E-3</v>
      </c>
      <c r="F58" s="8" t="e">
        <f>#REF!</f>
        <v>#REF!</v>
      </c>
      <c r="H58" s="187" t="e">
        <f>IF(F58&lt;Floors!$E$4,Floors!$E$4, "-")</f>
        <v>#REF!</v>
      </c>
      <c r="I58" s="64" t="e">
        <f t="shared" si="4"/>
        <v>#REF!</v>
      </c>
      <c r="J58" s="184" t="e">
        <f>IF(I58="Y",VLOOKUP(B58,#REF!,2,FALSE)*1.1,"N/A ")</f>
        <v>#REF!</v>
      </c>
      <c r="K58" s="184" t="e">
        <f t="shared" si="0"/>
        <v>#REF!</v>
      </c>
      <c r="M58" s="184" t="e">
        <f t="shared" si="5"/>
        <v>#REF!</v>
      </c>
      <c r="N58" s="174" t="e">
        <f t="shared" si="1"/>
        <v>#REF!</v>
      </c>
      <c r="O58" s="172" t="e">
        <f t="shared" si="2"/>
        <v>#REF!</v>
      </c>
      <c r="P58" s="174" t="e">
        <f t="shared" si="13"/>
        <v>#REF!</v>
      </c>
      <c r="Q58" s="174" t="e">
        <f t="shared" si="6"/>
        <v>#REF!</v>
      </c>
      <c r="R58" s="175" t="e">
        <f t="shared" si="8"/>
        <v>#REF!</v>
      </c>
      <c r="S58" s="174" t="e">
        <f t="shared" si="9"/>
        <v>#REF!</v>
      </c>
      <c r="T58" s="174" t="e">
        <f t="shared" si="10"/>
        <v>#REF!</v>
      </c>
    </row>
    <row r="59" spans="1:20" ht="16.5" customHeight="1" x14ac:dyDescent="0.35">
      <c r="A59" s="64">
        <v>1</v>
      </c>
      <c r="B59" s="65" t="s">
        <v>18</v>
      </c>
      <c r="D59" s="181">
        <f>VLOOKUP(B59,'WF Need'!$B$7:$AB$64,27, FALSE)</f>
        <v>2141889.3892899626</v>
      </c>
      <c r="E59" s="91">
        <f t="shared" si="3"/>
        <v>8.0546336080497094E-4</v>
      </c>
      <c r="F59" s="8" t="e">
        <f>#REF!</f>
        <v>#REF!</v>
      </c>
      <c r="H59" s="187" t="e">
        <f>IF(F59&lt;Floors!$E$4,Floors!$E$4, "-")</f>
        <v>#REF!</v>
      </c>
      <c r="I59" s="64" t="e">
        <f t="shared" si="4"/>
        <v>#REF!</v>
      </c>
      <c r="J59" s="184" t="e">
        <f>IF(I59="Y",VLOOKUP(B59,#REF!,2,FALSE)*1.1,"N/A ")</f>
        <v>#REF!</v>
      </c>
      <c r="K59" s="184" t="e">
        <f t="shared" si="0"/>
        <v>#REF!</v>
      </c>
      <c r="M59" s="184" t="e">
        <f t="shared" si="5"/>
        <v>#REF!</v>
      </c>
      <c r="N59" s="174" t="e">
        <f t="shared" si="1"/>
        <v>#REF!</v>
      </c>
      <c r="O59" s="174" t="e">
        <f t="shared" si="2"/>
        <v>#REF!</v>
      </c>
      <c r="P59" s="174" t="e">
        <f t="shared" si="13"/>
        <v>#REF!</v>
      </c>
      <c r="Q59" s="174" t="e">
        <f t="shared" si="6"/>
        <v>#REF!</v>
      </c>
      <c r="R59" s="175" t="e">
        <f t="shared" si="8"/>
        <v>#REF!</v>
      </c>
      <c r="S59" s="174" t="e">
        <f t="shared" si="9"/>
        <v>#REF!</v>
      </c>
      <c r="T59" s="174" t="e">
        <f t="shared" si="10"/>
        <v>#REF!</v>
      </c>
    </row>
    <row r="60" spans="1:20" ht="16.5" customHeight="1" x14ac:dyDescent="0.35">
      <c r="A60" s="64">
        <v>3</v>
      </c>
      <c r="B60" s="65" t="s">
        <v>51</v>
      </c>
      <c r="D60" s="181">
        <f>VLOOKUP(B60,'WF Need'!$B$7:$AB$64,27, FALSE)</f>
        <v>35475355.737711258</v>
      </c>
      <c r="E60" s="91">
        <f t="shared" si="3"/>
        <v>1.3340604515399904E-2</v>
      </c>
      <c r="F60" s="8" t="e">
        <f>#REF!</f>
        <v>#REF!</v>
      </c>
      <c r="H60" s="187" t="e">
        <f>IF(F60&lt;Floors!$E$4,Floors!$E$4, "-")</f>
        <v>#REF!</v>
      </c>
      <c r="I60" s="64" t="e">
        <f t="shared" si="4"/>
        <v>#REF!</v>
      </c>
      <c r="J60" s="184" t="e">
        <f>IF(I60="Y",VLOOKUP(B60,#REF!,2,FALSE)*1.1,"N/A ")</f>
        <v>#REF!</v>
      </c>
      <c r="K60" s="184" t="e">
        <f t="shared" si="0"/>
        <v>#REF!</v>
      </c>
      <c r="M60" s="184" t="e">
        <f t="shared" si="5"/>
        <v>#REF!</v>
      </c>
      <c r="N60" s="174" t="e">
        <f t="shared" si="1"/>
        <v>#REF!</v>
      </c>
      <c r="O60" s="172" t="e">
        <f t="shared" si="2"/>
        <v>#REF!</v>
      </c>
      <c r="P60" s="174" t="e">
        <f t="shared" si="13"/>
        <v>#REF!</v>
      </c>
      <c r="Q60" s="174" t="e">
        <f t="shared" si="6"/>
        <v>#REF!</v>
      </c>
      <c r="R60" s="175" t="e">
        <f t="shared" si="8"/>
        <v>#REF!</v>
      </c>
      <c r="S60" s="174" t="e">
        <f t="shared" si="9"/>
        <v>#REF!</v>
      </c>
      <c r="T60" s="174" t="e">
        <f t="shared" si="10"/>
        <v>#REF!</v>
      </c>
    </row>
    <row r="61" spans="1:20" ht="16.5" customHeight="1" x14ac:dyDescent="0.35">
      <c r="A61" s="64">
        <v>2</v>
      </c>
      <c r="B61" s="65" t="s">
        <v>38</v>
      </c>
      <c r="D61" s="181">
        <f>VLOOKUP(B61,'WF Need'!$B$7:$AB$64,27, FALSE)</f>
        <v>4885338.1820669621</v>
      </c>
      <c r="E61" s="91">
        <f t="shared" si="3"/>
        <v>1.837144779965012E-3</v>
      </c>
      <c r="F61" s="8" t="e">
        <f>#REF!</f>
        <v>#REF!</v>
      </c>
      <c r="H61" s="187" t="e">
        <f>IF(F61&lt;Floors!$E$4,Floors!$E$4, "-")</f>
        <v>#REF!</v>
      </c>
      <c r="I61" s="64" t="e">
        <f t="shared" si="4"/>
        <v>#REF!</v>
      </c>
      <c r="J61" s="184" t="e">
        <f>IF(I61="Y",VLOOKUP(B61,#REF!,2,FALSE)*1.1,"N/A ")</f>
        <v>#REF!</v>
      </c>
      <c r="K61" s="184" t="e">
        <f t="shared" si="0"/>
        <v>#REF!</v>
      </c>
      <c r="M61" s="184" t="e">
        <f t="shared" si="5"/>
        <v>#REF!</v>
      </c>
      <c r="N61" s="174" t="e">
        <f t="shared" si="1"/>
        <v>#REF!</v>
      </c>
      <c r="O61" s="172" t="e">
        <f t="shared" si="2"/>
        <v>#REF!</v>
      </c>
      <c r="P61" s="174" t="e">
        <f t="shared" si="13"/>
        <v>#REF!</v>
      </c>
      <c r="Q61" s="174" t="e">
        <f t="shared" si="6"/>
        <v>#REF!</v>
      </c>
      <c r="R61" s="175" t="e">
        <f t="shared" si="8"/>
        <v>#REF!</v>
      </c>
      <c r="S61" s="174" t="e">
        <f t="shared" si="9"/>
        <v>#REF!</v>
      </c>
      <c r="T61" s="174" t="e">
        <f t="shared" si="10"/>
        <v>#REF!</v>
      </c>
    </row>
    <row r="62" spans="1:20" ht="16.5" customHeight="1" x14ac:dyDescent="0.35">
      <c r="A62" s="64">
        <v>3</v>
      </c>
      <c r="B62" s="65" t="s">
        <v>52</v>
      </c>
      <c r="D62" s="181">
        <f>VLOOKUP(B62,'WF Need'!$B$7:$AB$64,27, FALSE)</f>
        <v>46987642.711367249</v>
      </c>
      <c r="E62" s="91">
        <f t="shared" si="3"/>
        <v>1.7669831506634103E-2</v>
      </c>
      <c r="F62" s="8" t="e">
        <f>#REF!</f>
        <v>#REF!</v>
      </c>
      <c r="H62" s="187" t="e">
        <f>IF(F62&lt;Floors!$E$4,Floors!$E$4, "-")</f>
        <v>#REF!</v>
      </c>
      <c r="I62" s="64" t="e">
        <f t="shared" si="4"/>
        <v>#REF!</v>
      </c>
      <c r="J62" s="184" t="e">
        <f>IF(I62="Y",VLOOKUP(B62,#REF!,2,FALSE)*1.1,"N/A ")</f>
        <v>#REF!</v>
      </c>
      <c r="K62" s="184" t="e">
        <f t="shared" si="0"/>
        <v>#REF!</v>
      </c>
      <c r="M62" s="184" t="e">
        <f t="shared" si="5"/>
        <v>#REF!</v>
      </c>
      <c r="N62" s="174" t="e">
        <f t="shared" si="1"/>
        <v>#REF!</v>
      </c>
      <c r="O62" s="172" t="e">
        <f t="shared" si="2"/>
        <v>#REF!</v>
      </c>
      <c r="P62" s="174" t="e">
        <f t="shared" si="13"/>
        <v>#REF!</v>
      </c>
      <c r="Q62" s="174" t="e">
        <f t="shared" si="6"/>
        <v>#REF!</v>
      </c>
      <c r="R62" s="175" t="e">
        <f t="shared" si="8"/>
        <v>#REF!</v>
      </c>
      <c r="S62" s="174" t="e">
        <f t="shared" si="9"/>
        <v>#REF!</v>
      </c>
      <c r="T62" s="174" t="e">
        <f t="shared" si="10"/>
        <v>#REF!</v>
      </c>
    </row>
    <row r="63" spans="1:20" ht="16.5" customHeight="1" x14ac:dyDescent="0.35">
      <c r="A63" s="64">
        <v>2</v>
      </c>
      <c r="B63" s="65" t="s">
        <v>39</v>
      </c>
      <c r="D63" s="181">
        <f>VLOOKUP(B63,'WF Need'!$B$7:$AB$64,27, FALSE)</f>
        <v>16165651.874359354</v>
      </c>
      <c r="E63" s="91">
        <f t="shared" si="3"/>
        <v>6.0791375845234835E-3</v>
      </c>
      <c r="F63" s="8" t="e">
        <f>#REF!</f>
        <v>#REF!</v>
      </c>
      <c r="H63" s="187" t="e">
        <f>IF(F63&lt;Floors!$E$4,Floors!$E$4, "-")</f>
        <v>#REF!</v>
      </c>
      <c r="I63" s="64" t="e">
        <f t="shared" si="4"/>
        <v>#REF!</v>
      </c>
      <c r="J63" s="184" t="e">
        <f>IF(I63="Y",VLOOKUP(B63,#REF!,2,FALSE)*1.1,"N/A ")</f>
        <v>#REF!</v>
      </c>
      <c r="K63" s="184" t="e">
        <f t="shared" si="0"/>
        <v>#REF!</v>
      </c>
      <c r="M63" s="184" t="e">
        <f t="shared" si="5"/>
        <v>#REF!</v>
      </c>
      <c r="N63" s="174" t="e">
        <f t="shared" si="1"/>
        <v>#REF!</v>
      </c>
      <c r="O63" s="172" t="e">
        <f t="shared" si="2"/>
        <v>#REF!</v>
      </c>
      <c r="P63" s="174" t="e">
        <f t="shared" si="13"/>
        <v>#REF!</v>
      </c>
      <c r="Q63" s="174" t="e">
        <f t="shared" si="6"/>
        <v>#REF!</v>
      </c>
      <c r="R63" s="175" t="e">
        <f t="shared" si="8"/>
        <v>#REF!</v>
      </c>
      <c r="S63" s="174" t="e">
        <f t="shared" si="9"/>
        <v>#REF!</v>
      </c>
      <c r="T63" s="174" t="e">
        <f t="shared" si="10"/>
        <v>#REF!</v>
      </c>
    </row>
    <row r="64" spans="1:20" ht="16.5" customHeight="1" x14ac:dyDescent="0.35">
      <c r="A64" s="64">
        <v>2</v>
      </c>
      <c r="B64" s="65" t="s">
        <v>40</v>
      </c>
      <c r="D64" s="181">
        <f>VLOOKUP(B64,'WF Need'!$B$7:$AB$64,27, FALSE)</f>
        <v>5858506.8506472996</v>
      </c>
      <c r="E64" s="91">
        <f t="shared" si="3"/>
        <v>2.2031075184445487E-3</v>
      </c>
      <c r="F64" s="8" t="e">
        <f>#REF!</f>
        <v>#REF!</v>
      </c>
      <c r="H64" s="187" t="e">
        <f>IF(F64&lt;Floors!$E$4,Floors!$E$4, "-")</f>
        <v>#REF!</v>
      </c>
      <c r="I64" s="64" t="e">
        <f t="shared" si="4"/>
        <v>#REF!</v>
      </c>
      <c r="J64" s="184" t="e">
        <f>IF(I64="Y",VLOOKUP(B64,#REF!,2,FALSE)*1.1,"N/A ")</f>
        <v>#REF!</v>
      </c>
      <c r="K64" s="184" t="e">
        <f t="shared" si="0"/>
        <v>#REF!</v>
      </c>
      <c r="M64" s="184" t="e">
        <f t="shared" si="5"/>
        <v>#REF!</v>
      </c>
      <c r="N64" s="174" t="e">
        <f t="shared" si="1"/>
        <v>#REF!</v>
      </c>
      <c r="O64" s="172" t="e">
        <f t="shared" si="2"/>
        <v>#REF!</v>
      </c>
      <c r="P64" s="174" t="e">
        <f t="shared" si="13"/>
        <v>#REF!</v>
      </c>
      <c r="Q64" s="174" t="e">
        <f t="shared" si="6"/>
        <v>#REF!</v>
      </c>
      <c r="R64" s="175" t="e">
        <f t="shared" si="8"/>
        <v>#REF!</v>
      </c>
      <c r="S64" s="174" t="e">
        <f t="shared" si="9"/>
        <v>#REF!</v>
      </c>
      <c r="T64" s="174" t="e">
        <f t="shared" si="10"/>
        <v>#REF!</v>
      </c>
    </row>
    <row r="65" spans="2:22" ht="16.5" customHeight="1" thickBot="1" x14ac:dyDescent="0.4">
      <c r="B65" s="97" t="s">
        <v>62</v>
      </c>
      <c r="D65" s="188">
        <f>SUM(D7:D64)</f>
        <v>2659201514.9508262</v>
      </c>
      <c r="E65" s="182">
        <f>SUM(E7:E64)</f>
        <v>1</v>
      </c>
      <c r="F65" s="189" t="e">
        <f>SUM(F7:F64)</f>
        <v>#REF!</v>
      </c>
      <c r="H65" s="52"/>
      <c r="I65" s="52"/>
      <c r="J65" s="168"/>
      <c r="K65" s="168"/>
      <c r="M65" s="189" t="e">
        <f t="shared" ref="M65" si="14">SUM(M7:M64)</f>
        <v>#REF!</v>
      </c>
      <c r="N65" s="172"/>
      <c r="O65" s="172"/>
      <c r="P65" s="177" t="e">
        <f t="shared" ref="P65:S65" si="15">SUM(P7:P64)</f>
        <v>#REF!</v>
      </c>
      <c r="Q65" s="177" t="e">
        <f t="shared" si="15"/>
        <v>#REF!</v>
      </c>
      <c r="R65" s="178" t="e">
        <f>SUM(R7:R64)</f>
        <v>#REF!</v>
      </c>
      <c r="S65" s="177" t="e">
        <f t="shared" si="15"/>
        <v>#REF!</v>
      </c>
      <c r="T65" s="177" t="e">
        <f t="shared" ref="T65" si="16">SUM(T7:T64)</f>
        <v>#REF!</v>
      </c>
    </row>
    <row r="66" spans="2:22" ht="15" thickTop="1" x14ac:dyDescent="0.35">
      <c r="D66" s="179"/>
      <c r="F66" s="57"/>
      <c r="H66" s="52"/>
      <c r="I66" s="52"/>
      <c r="N66" s="172"/>
      <c r="O66" s="172"/>
      <c r="P66" s="172"/>
      <c r="Q66" s="172"/>
      <c r="R66" s="172"/>
      <c r="S66" s="172"/>
      <c r="T66" s="172"/>
    </row>
    <row r="67" spans="2:22" ht="15" customHeight="1" x14ac:dyDescent="0.35">
      <c r="B67" s="183" t="s">
        <v>190</v>
      </c>
      <c r="D67" s="180"/>
      <c r="H67" s="52"/>
      <c r="I67" s="52"/>
      <c r="M67" s="83"/>
      <c r="N67" s="172"/>
      <c r="O67" s="172"/>
      <c r="P67" s="332" t="s">
        <v>108</v>
      </c>
      <c r="Q67" s="332"/>
      <c r="R67" s="332"/>
      <c r="S67" s="332"/>
      <c r="T67" s="332"/>
      <c r="U67" s="166"/>
      <c r="V67" s="166"/>
    </row>
    <row r="68" spans="2:22" x14ac:dyDescent="0.35">
      <c r="D68" s="179"/>
      <c r="F68" s="57"/>
      <c r="H68" s="52"/>
      <c r="I68" s="52"/>
      <c r="N68" s="172"/>
      <c r="O68" s="172"/>
      <c r="P68" s="332"/>
      <c r="Q68" s="332"/>
      <c r="R68" s="332"/>
      <c r="S68" s="332"/>
      <c r="T68" s="332"/>
      <c r="U68" s="166"/>
      <c r="V68" s="166"/>
    </row>
    <row r="69" spans="2:22" x14ac:dyDescent="0.35">
      <c r="D69" s="179"/>
      <c r="F69" s="57"/>
      <c r="H69" s="52"/>
      <c r="I69" s="52"/>
      <c r="N69" s="172"/>
      <c r="O69" s="172"/>
      <c r="P69" s="332"/>
      <c r="Q69" s="332"/>
      <c r="R69" s="332"/>
      <c r="S69" s="332"/>
      <c r="T69" s="332"/>
    </row>
    <row r="70" spans="2:22" x14ac:dyDescent="0.35">
      <c r="D70" s="179"/>
      <c r="F70" s="57"/>
      <c r="H70" s="52"/>
      <c r="I70" s="52"/>
      <c r="P70" s="166"/>
      <c r="Q70" s="166"/>
      <c r="R70" s="166"/>
      <c r="S70" s="166"/>
      <c r="T70" s="166"/>
    </row>
    <row r="71" spans="2:22" x14ac:dyDescent="0.35">
      <c r="D71" s="179"/>
      <c r="F71" s="57"/>
      <c r="H71" s="52"/>
      <c r="I71" s="52"/>
    </row>
    <row r="72" spans="2:22" x14ac:dyDescent="0.35">
      <c r="D72" s="179"/>
      <c r="F72" s="57"/>
      <c r="H72" s="52"/>
      <c r="I72" s="52"/>
    </row>
    <row r="73" spans="2:22" x14ac:dyDescent="0.35">
      <c r="D73" s="179"/>
      <c r="F73" s="57"/>
      <c r="H73" s="52"/>
      <c r="I73" s="52"/>
    </row>
  </sheetData>
  <autoFilter ref="I1:I74" xr:uid="{00000000-0009-0000-0000-00000A000000}"/>
  <mergeCells count="7">
    <mergeCell ref="D4:E4"/>
    <mergeCell ref="A4:B4"/>
    <mergeCell ref="A5:A6"/>
    <mergeCell ref="B5:B6"/>
    <mergeCell ref="P67:T69"/>
    <mergeCell ref="N4:S4"/>
    <mergeCell ref="H4:K4"/>
  </mergeCells>
  <conditionalFormatting sqref="I1:I3 I65:I1048576">
    <cfRule type="cellIs" dxfId="0" priority="1" operator="equal">
      <formula>"Y"</formula>
    </cfRule>
  </conditionalFormatting>
  <printOptions horizontalCentered="1"/>
  <pageMargins left="0.25" right="0.25" top="0.5" bottom="0.25" header="0.3" footer="0.3"/>
  <pageSetup scale="61" orientation="portrait" r:id="rId1"/>
  <rowBreaks count="1" manualBreakCount="1">
    <brk id="3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E4"/>
  <sheetViews>
    <sheetView zoomScaleNormal="100" zoomScaleSheetLayoutView="100" workbookViewId="0">
      <pane xSplit="1" ySplit="3" topLeftCell="B4" activePane="bottomRight" state="frozen"/>
      <selection pane="topRight" activeCell="B1" sqref="B1"/>
      <selection pane="bottomLeft" activeCell="A6" sqref="A6"/>
      <selection pane="bottomRight" activeCell="A4" sqref="A4"/>
    </sheetView>
  </sheetViews>
  <sheetFormatPr defaultColWidth="9.1796875" defaultRowHeight="14.5" x14ac:dyDescent="0.35"/>
  <cols>
    <col min="1" max="1" width="29.453125" style="52" customWidth="1"/>
    <col min="2" max="7" width="16.1796875" style="52" customWidth="1"/>
    <col min="8" max="16384" width="9.1796875" style="52"/>
  </cols>
  <sheetData>
    <row r="1" spans="1:5" ht="20.149999999999999" customHeight="1" x14ac:dyDescent="0.35">
      <c r="A1" s="161" t="s">
        <v>185</v>
      </c>
    </row>
    <row r="2" spans="1:5" ht="20.149999999999999" customHeight="1" x14ac:dyDescent="0.35">
      <c r="A2" s="170" t="s">
        <v>203</v>
      </c>
    </row>
    <row r="3" spans="1:5" ht="20.149999999999999" customHeight="1" x14ac:dyDescent="0.35"/>
    <row r="4" spans="1:5" x14ac:dyDescent="0.35">
      <c r="A4" s="52" t="s">
        <v>205</v>
      </c>
      <c r="E4" s="167">
        <v>800000</v>
      </c>
    </row>
  </sheetData>
  <printOptions horizontalCentered="1"/>
  <pageMargins left="0.75" right="0.75" top="0.75" bottom="0.75" header="0.3" footer="0.3"/>
  <pageSetup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B1:P62"/>
  <sheetViews>
    <sheetView workbookViewId="0">
      <selection activeCell="J17" sqref="J17"/>
    </sheetView>
  </sheetViews>
  <sheetFormatPr defaultColWidth="9.1796875" defaultRowHeight="15.5" x14ac:dyDescent="0.35"/>
  <cols>
    <col min="1" max="1" width="5.81640625" customWidth="1"/>
    <col min="2" max="2" width="15.453125" style="18" bestFit="1" customWidth="1"/>
    <col min="3" max="3" width="13.81640625" customWidth="1"/>
    <col min="4" max="4" width="14.54296875" bestFit="1" customWidth="1"/>
    <col min="5" max="5" width="13.1796875" bestFit="1" customWidth="1"/>
    <col min="6" max="6" width="13.453125" bestFit="1" customWidth="1"/>
    <col min="7" max="7" width="5.81640625" customWidth="1"/>
    <col min="8" max="8" width="20.81640625" bestFit="1" customWidth="1"/>
    <col min="9" max="9" width="14.54296875" bestFit="1" customWidth="1"/>
    <col min="10" max="10" width="14.1796875" bestFit="1" customWidth="1"/>
    <col min="11" max="11" width="13.453125" bestFit="1" customWidth="1"/>
    <col min="12" max="12" width="5.81640625" customWidth="1"/>
    <col min="13" max="13" width="13.453125" bestFit="1" customWidth="1"/>
    <col min="14" max="14" width="12.54296875" customWidth="1"/>
    <col min="15" max="15" width="18.1796875" bestFit="1" customWidth="1"/>
    <col min="16" max="16" width="10.1796875" customWidth="1"/>
  </cols>
  <sheetData>
    <row r="1" spans="2:16" ht="19" thickBot="1" x14ac:dyDescent="0.4">
      <c r="B1" s="15"/>
    </row>
    <row r="2" spans="2:16" s="4" customFormat="1" ht="61.5" customHeight="1" x14ac:dyDescent="0.35">
      <c r="B2" s="26" t="s">
        <v>63</v>
      </c>
      <c r="C2" s="27" t="s">
        <v>229</v>
      </c>
      <c r="D2" s="27" t="s">
        <v>228</v>
      </c>
      <c r="E2" s="27" t="s">
        <v>101</v>
      </c>
      <c r="F2" s="28" t="s">
        <v>102</v>
      </c>
      <c r="G2" s="14"/>
      <c r="H2" s="33" t="s">
        <v>230</v>
      </c>
      <c r="I2" s="27" t="s">
        <v>231</v>
      </c>
      <c r="J2" s="27" t="s">
        <v>103</v>
      </c>
      <c r="K2" s="28" t="s">
        <v>102</v>
      </c>
      <c r="M2" s="33" t="s">
        <v>104</v>
      </c>
      <c r="N2" s="27" t="s">
        <v>106</v>
      </c>
      <c r="O2" s="27" t="s">
        <v>105</v>
      </c>
      <c r="P2" s="28" t="s">
        <v>106</v>
      </c>
    </row>
    <row r="3" spans="2:16" ht="14.5" x14ac:dyDescent="0.35">
      <c r="B3" s="16" t="s">
        <v>53</v>
      </c>
      <c r="C3" s="20">
        <v>82853797</v>
      </c>
      <c r="D3" s="20">
        <v>91263263.98601386</v>
      </c>
      <c r="E3" s="13">
        <f>C3/D3</f>
        <v>0.90785485179115866</v>
      </c>
      <c r="F3" s="21" t="e">
        <f>VLOOKUP(B3,#REF!,5)</f>
        <v>#REF!</v>
      </c>
      <c r="H3" s="29" t="e">
        <f>VLOOKUP(B3,#REF!,4)</f>
        <v>#REF!</v>
      </c>
      <c r="I3" s="20">
        <f>'WF Need'!AB7</f>
        <v>89736951.376818791</v>
      </c>
      <c r="J3" s="13" t="e">
        <f>VLOOKUP(B3,#REF!,6)</f>
        <v>#REF!</v>
      </c>
      <c r="K3" s="21" t="e">
        <f>VLOOKUP(B3,#REF!,7)</f>
        <v>#REF!</v>
      </c>
      <c r="M3" s="29" t="e">
        <f>H3-C3</f>
        <v>#REF!</v>
      </c>
      <c r="N3" s="34" t="e">
        <f>M3/C3</f>
        <v>#REF!</v>
      </c>
      <c r="O3" s="20">
        <f t="shared" ref="O3:O34" si="0">I3-D3</f>
        <v>-1526312.6091950685</v>
      </c>
      <c r="P3" s="35">
        <f t="shared" ref="P3:P34" si="1">O3/D3</f>
        <v>-1.6724282504611894E-2</v>
      </c>
    </row>
    <row r="4" spans="2:16" ht="14.5" x14ac:dyDescent="0.35">
      <c r="B4" s="16" t="s">
        <v>4</v>
      </c>
      <c r="C4" s="20">
        <v>800000</v>
      </c>
      <c r="D4" s="20">
        <v>436233.26812475082</v>
      </c>
      <c r="E4" s="13">
        <f t="shared" ref="E4:E61" si="2">C4/D4</f>
        <v>1.8338812246919733</v>
      </c>
      <c r="F4" s="21" t="e">
        <f>VLOOKUP(B4,#REF!,5)</f>
        <v>#REF!</v>
      </c>
      <c r="H4" s="29" t="e">
        <f>VLOOKUP(B4,#REF!,4)</f>
        <v>#REF!</v>
      </c>
      <c r="I4" s="20">
        <f>'WF Need'!AB8</f>
        <v>513054.3128889731</v>
      </c>
      <c r="J4" s="13" t="e">
        <f>VLOOKUP(B4,#REF!,6)</f>
        <v>#REF!</v>
      </c>
      <c r="K4" s="21" t="e">
        <f>VLOOKUP(B4,#REF!,7)</f>
        <v>#REF!</v>
      </c>
      <c r="M4" s="29" t="e">
        <f t="shared" ref="M4:M34" si="3">H4-C4</f>
        <v>#REF!</v>
      </c>
      <c r="N4" s="34" t="e">
        <f t="shared" ref="N4:N34" si="4">M4/C4</f>
        <v>#REF!</v>
      </c>
      <c r="O4" s="20">
        <f t="shared" si="0"/>
        <v>76821.044764222286</v>
      </c>
      <c r="P4" s="35">
        <f t="shared" si="1"/>
        <v>0.17610083956791109</v>
      </c>
    </row>
    <row r="5" spans="2:16" ht="14.5" x14ac:dyDescent="0.35">
      <c r="B5" s="16" t="s">
        <v>5</v>
      </c>
      <c r="C5" s="20">
        <v>3811969</v>
      </c>
      <c r="D5" s="20">
        <v>4104927.0630412395</v>
      </c>
      <c r="E5" s="13">
        <f t="shared" si="2"/>
        <v>0.92863257774324637</v>
      </c>
      <c r="F5" s="21" t="e">
        <f>VLOOKUP(B5,#REF!,5)</f>
        <v>#REF!</v>
      </c>
      <c r="H5" s="29" t="e">
        <f>VLOOKUP(B5,#REF!,4)</f>
        <v>#REF!</v>
      </c>
      <c r="I5" s="20">
        <f>'WF Need'!AB9</f>
        <v>4318193.9837225312</v>
      </c>
      <c r="J5" s="13" t="e">
        <f>VLOOKUP(B5,#REF!,6)</f>
        <v>#REF!</v>
      </c>
      <c r="K5" s="21" t="e">
        <f>VLOOKUP(B5,#REF!,7)</f>
        <v>#REF!</v>
      </c>
      <c r="M5" s="29" t="e">
        <f t="shared" si="3"/>
        <v>#REF!</v>
      </c>
      <c r="N5" s="34" t="e">
        <f t="shared" si="4"/>
        <v>#REF!</v>
      </c>
      <c r="O5" s="20">
        <f t="shared" si="0"/>
        <v>213266.92068129173</v>
      </c>
      <c r="P5" s="35">
        <f t="shared" si="1"/>
        <v>5.1953887951248397E-2</v>
      </c>
    </row>
    <row r="6" spans="2:16" ht="14.5" x14ac:dyDescent="0.35">
      <c r="B6" s="16" t="s">
        <v>19</v>
      </c>
      <c r="C6" s="20">
        <v>13174722.049999999</v>
      </c>
      <c r="D6" s="20">
        <v>15499672.570690038</v>
      </c>
      <c r="E6" s="13">
        <f t="shared" si="2"/>
        <v>0.85000002354330162</v>
      </c>
      <c r="F6" s="21" t="e">
        <f>VLOOKUP(B6,#REF!,5)</f>
        <v>#REF!</v>
      </c>
      <c r="H6" s="29" t="e">
        <f>VLOOKUP(B6,#REF!,4)</f>
        <v>#REF!</v>
      </c>
      <c r="I6" s="20">
        <f>'WF Need'!AB10</f>
        <v>15020326.101351636</v>
      </c>
      <c r="J6" s="13" t="e">
        <f>VLOOKUP(B6,#REF!,6)</f>
        <v>#REF!</v>
      </c>
      <c r="K6" s="21" t="e">
        <f>VLOOKUP(B6,#REF!,7)</f>
        <v>#REF!</v>
      </c>
      <c r="M6" s="29" t="e">
        <f t="shared" si="3"/>
        <v>#REF!</v>
      </c>
      <c r="N6" s="34" t="e">
        <f t="shared" si="4"/>
        <v>#REF!</v>
      </c>
      <c r="O6" s="20">
        <f t="shared" si="0"/>
        <v>-479346.46933840215</v>
      </c>
      <c r="P6" s="35">
        <f t="shared" si="1"/>
        <v>-3.0926231967302899E-2</v>
      </c>
    </row>
    <row r="7" spans="2:16" ht="14.5" x14ac:dyDescent="0.35">
      <c r="B7" s="16" t="s">
        <v>6</v>
      </c>
      <c r="C7" s="20">
        <v>3113405</v>
      </c>
      <c r="D7" s="20">
        <v>3034382.6469259844</v>
      </c>
      <c r="E7" s="13">
        <f t="shared" si="2"/>
        <v>1.0260423164343067</v>
      </c>
      <c r="F7" s="21" t="e">
        <f>VLOOKUP(B7,#REF!,5)</f>
        <v>#REF!</v>
      </c>
      <c r="H7" s="29" t="e">
        <f>VLOOKUP(B7,#REF!,4)</f>
        <v>#REF!</v>
      </c>
      <c r="I7" s="20">
        <f>'WF Need'!AB11</f>
        <v>3434243.6309455801</v>
      </c>
      <c r="J7" s="13" t="e">
        <f>VLOOKUP(B7,#REF!,6)</f>
        <v>#REF!</v>
      </c>
      <c r="K7" s="21" t="e">
        <f>VLOOKUP(B7,#REF!,7)</f>
        <v>#REF!</v>
      </c>
      <c r="M7" s="29" t="e">
        <f t="shared" si="3"/>
        <v>#REF!</v>
      </c>
      <c r="N7" s="34" t="e">
        <f t="shared" si="4"/>
        <v>#REF!</v>
      </c>
      <c r="O7" s="20">
        <f t="shared" si="0"/>
        <v>399860.98401959566</v>
      </c>
      <c r="P7" s="35">
        <f t="shared" si="1"/>
        <v>0.13177671722604906</v>
      </c>
    </row>
    <row r="8" spans="2:16" ht="14.5" x14ac:dyDescent="0.35">
      <c r="B8" s="16" t="s">
        <v>7</v>
      </c>
      <c r="C8" s="20">
        <v>2371498</v>
      </c>
      <c r="D8" s="20">
        <v>2415621.0665193587</v>
      </c>
      <c r="E8" s="13">
        <f t="shared" si="2"/>
        <v>0.9817342764844591</v>
      </c>
      <c r="F8" s="21" t="e">
        <f>VLOOKUP(B8,#REF!,5)</f>
        <v>#REF!</v>
      </c>
      <c r="H8" s="29" t="e">
        <f>VLOOKUP(B8,#REF!,4)</f>
        <v>#REF!</v>
      </c>
      <c r="I8" s="20">
        <f>'WF Need'!AB12</f>
        <v>2635566.7608938734</v>
      </c>
      <c r="J8" s="13" t="e">
        <f>VLOOKUP(B8,#REF!,6)</f>
        <v>#REF!</v>
      </c>
      <c r="K8" s="21" t="e">
        <f>VLOOKUP(B8,#REF!,7)</f>
        <v>#REF!</v>
      </c>
      <c r="M8" s="29" t="e">
        <f t="shared" si="3"/>
        <v>#REF!</v>
      </c>
      <c r="N8" s="34" t="e">
        <f t="shared" si="4"/>
        <v>#REF!</v>
      </c>
      <c r="O8" s="20">
        <f t="shared" si="0"/>
        <v>219945.69437451474</v>
      </c>
      <c r="P8" s="35">
        <f t="shared" si="1"/>
        <v>9.1051405960551599E-2</v>
      </c>
    </row>
    <row r="9" spans="2:16" ht="14.5" x14ac:dyDescent="0.35">
      <c r="B9" s="16" t="s">
        <v>41</v>
      </c>
      <c r="C9" s="20">
        <v>50690205.600000001</v>
      </c>
      <c r="D9" s="20">
        <v>59635536.461442783</v>
      </c>
      <c r="E9" s="13">
        <f t="shared" si="2"/>
        <v>0.8499999934229423</v>
      </c>
      <c r="F9" s="21" t="e">
        <f>VLOOKUP(B9,#REF!,5)</f>
        <v>#REF!</v>
      </c>
      <c r="H9" s="29" t="e">
        <f>VLOOKUP(B9,#REF!,4)</f>
        <v>#REF!</v>
      </c>
      <c r="I9" s="20">
        <f>'WF Need'!AB13</f>
        <v>58792179.70932214</v>
      </c>
      <c r="J9" s="13" t="e">
        <f>VLOOKUP(B9,#REF!,6)</f>
        <v>#REF!</v>
      </c>
      <c r="K9" s="21" t="e">
        <f>VLOOKUP(B9,#REF!,7)</f>
        <v>#REF!</v>
      </c>
      <c r="M9" s="29" t="e">
        <f t="shared" si="3"/>
        <v>#REF!</v>
      </c>
      <c r="N9" s="34" t="e">
        <f t="shared" si="4"/>
        <v>#REF!</v>
      </c>
      <c r="O9" s="20">
        <f t="shared" si="0"/>
        <v>-843356.75212064385</v>
      </c>
      <c r="P9" s="35">
        <f t="shared" si="1"/>
        <v>-1.4141849007527822E-2</v>
      </c>
    </row>
    <row r="10" spans="2:16" ht="14.5" x14ac:dyDescent="0.35">
      <c r="B10" s="16" t="s">
        <v>8</v>
      </c>
      <c r="C10" s="20">
        <v>3488058</v>
      </c>
      <c r="D10" s="20">
        <v>3448590.8234421331</v>
      </c>
      <c r="E10" s="13">
        <f t="shared" si="2"/>
        <v>1.0114444358807617</v>
      </c>
      <c r="F10" s="21" t="e">
        <f>VLOOKUP(B10,#REF!,5)</f>
        <v>#REF!</v>
      </c>
      <c r="H10" s="29" t="e">
        <f>VLOOKUP(B10,#REF!,4)</f>
        <v>#REF!</v>
      </c>
      <c r="I10" s="20">
        <f>'WF Need'!AB14</f>
        <v>3822120.7056279005</v>
      </c>
      <c r="J10" s="13" t="e">
        <f>VLOOKUP(B10,#REF!,6)</f>
        <v>#REF!</v>
      </c>
      <c r="K10" s="21" t="e">
        <f>VLOOKUP(B10,#REF!,7)</f>
        <v>#REF!</v>
      </c>
      <c r="M10" s="29" t="e">
        <f t="shared" si="3"/>
        <v>#REF!</v>
      </c>
      <c r="N10" s="34" t="e">
        <f t="shared" si="4"/>
        <v>#REF!</v>
      </c>
      <c r="O10" s="20">
        <f t="shared" si="0"/>
        <v>373529.8821857674</v>
      </c>
      <c r="P10" s="35">
        <f t="shared" si="1"/>
        <v>0.1083137725840542</v>
      </c>
    </row>
    <row r="11" spans="2:16" ht="14.5" x14ac:dyDescent="0.35">
      <c r="B11" s="16" t="s">
        <v>20</v>
      </c>
      <c r="C11" s="20">
        <v>8921043</v>
      </c>
      <c r="D11" s="20">
        <v>10324368.334335973</v>
      </c>
      <c r="E11" s="13">
        <f t="shared" si="2"/>
        <v>0.86407639781032375</v>
      </c>
      <c r="F11" s="21" t="e">
        <f>VLOOKUP(B11,#REF!,5)</f>
        <v>#REF!</v>
      </c>
      <c r="H11" s="29" t="e">
        <f>VLOOKUP(B11,#REF!,4)</f>
        <v>#REF!</v>
      </c>
      <c r="I11" s="20">
        <f>'WF Need'!AB15</f>
        <v>10536589.405710995</v>
      </c>
      <c r="J11" s="13" t="e">
        <f>VLOOKUP(B11,#REF!,6)</f>
        <v>#REF!</v>
      </c>
      <c r="K11" s="21" t="e">
        <f>VLOOKUP(B11,#REF!,7)</f>
        <v>#REF!</v>
      </c>
      <c r="M11" s="29" t="e">
        <f t="shared" si="3"/>
        <v>#REF!</v>
      </c>
      <c r="N11" s="34" t="e">
        <f t="shared" si="4"/>
        <v>#REF!</v>
      </c>
      <c r="O11" s="20">
        <f t="shared" si="0"/>
        <v>212221.07137502171</v>
      </c>
      <c r="P11" s="35">
        <f t="shared" si="1"/>
        <v>2.0555356463720257E-2</v>
      </c>
    </row>
    <row r="12" spans="2:16" ht="14.5" x14ac:dyDescent="0.35">
      <c r="B12" s="16" t="s">
        <v>42</v>
      </c>
      <c r="C12" s="20">
        <v>64032893.600000001</v>
      </c>
      <c r="D12" s="20">
        <v>75332816.091166273</v>
      </c>
      <c r="E12" s="13">
        <f t="shared" si="2"/>
        <v>0.84999999897134693</v>
      </c>
      <c r="F12" s="21" t="e">
        <f>VLOOKUP(B12,#REF!,5)</f>
        <v>#REF!</v>
      </c>
      <c r="H12" s="29" t="e">
        <f>VLOOKUP(B12,#REF!,4)</f>
        <v>#REF!</v>
      </c>
      <c r="I12" s="20">
        <f>'WF Need'!AB16</f>
        <v>66190563.664688788</v>
      </c>
      <c r="J12" s="13" t="e">
        <f>VLOOKUP(B12,#REF!,6)</f>
        <v>#REF!</v>
      </c>
      <c r="K12" s="21" t="e">
        <f>VLOOKUP(B12,#REF!,7)</f>
        <v>#REF!</v>
      </c>
      <c r="M12" s="29" t="e">
        <f t="shared" si="3"/>
        <v>#REF!</v>
      </c>
      <c r="N12" s="34" t="e">
        <f t="shared" si="4"/>
        <v>#REF!</v>
      </c>
      <c r="O12" s="20">
        <f t="shared" si="0"/>
        <v>-9142252.4264774844</v>
      </c>
      <c r="P12" s="35">
        <f t="shared" si="1"/>
        <v>-0.12135816634564295</v>
      </c>
    </row>
    <row r="13" spans="2:16" ht="14.5" x14ac:dyDescent="0.35">
      <c r="B13" s="16" t="s">
        <v>9</v>
      </c>
      <c r="C13" s="20">
        <v>2795390</v>
      </c>
      <c r="D13" s="20">
        <v>2676801.1571440799</v>
      </c>
      <c r="E13" s="13">
        <f t="shared" si="2"/>
        <v>1.0443024475461764</v>
      </c>
      <c r="F13" s="21" t="e">
        <f>VLOOKUP(B13,#REF!,5)</f>
        <v>#REF!</v>
      </c>
      <c r="H13" s="29" t="e">
        <f>VLOOKUP(B13,#REF!,4)</f>
        <v>#REF!</v>
      </c>
      <c r="I13" s="20">
        <f>'WF Need'!AB17</f>
        <v>3222233.9112054254</v>
      </c>
      <c r="J13" s="13" t="e">
        <f>VLOOKUP(B13,#REF!,6)</f>
        <v>#REF!</v>
      </c>
      <c r="K13" s="21" t="e">
        <f>VLOOKUP(B13,#REF!,7)</f>
        <v>#REF!</v>
      </c>
      <c r="M13" s="29" t="e">
        <f t="shared" si="3"/>
        <v>#REF!</v>
      </c>
      <c r="N13" s="34" t="e">
        <f t="shared" si="4"/>
        <v>#REF!</v>
      </c>
      <c r="O13" s="20">
        <f t="shared" si="0"/>
        <v>545432.75406134548</v>
      </c>
      <c r="P13" s="35">
        <f t="shared" si="1"/>
        <v>0.20376289535203132</v>
      </c>
    </row>
    <row r="14" spans="2:16" ht="14.5" x14ac:dyDescent="0.35">
      <c r="B14" s="16" t="s">
        <v>21</v>
      </c>
      <c r="C14" s="20">
        <v>7919693</v>
      </c>
      <c r="D14" s="20">
        <v>9021637.1317627095</v>
      </c>
      <c r="E14" s="13">
        <f t="shared" si="2"/>
        <v>0.87785541408187806</v>
      </c>
      <c r="F14" s="21" t="e">
        <f>VLOOKUP(B14,#REF!,5)</f>
        <v>#REF!</v>
      </c>
      <c r="H14" s="29" t="e">
        <f>VLOOKUP(B14,#REF!,4)</f>
        <v>#REF!</v>
      </c>
      <c r="I14" s="20">
        <f>'WF Need'!AB18</f>
        <v>8993983.100534996</v>
      </c>
      <c r="J14" s="13" t="e">
        <f>VLOOKUP(B14,#REF!,6)</f>
        <v>#REF!</v>
      </c>
      <c r="K14" s="21" t="e">
        <f>VLOOKUP(B14,#REF!,7)</f>
        <v>#REF!</v>
      </c>
      <c r="M14" s="29" t="e">
        <f t="shared" si="3"/>
        <v>#REF!</v>
      </c>
      <c r="N14" s="34" t="e">
        <f t="shared" si="4"/>
        <v>#REF!</v>
      </c>
      <c r="O14" s="20">
        <f t="shared" si="0"/>
        <v>-27654.031227713451</v>
      </c>
      <c r="P14" s="35">
        <f t="shared" si="1"/>
        <v>-3.0653007679006723E-3</v>
      </c>
    </row>
    <row r="15" spans="2:16" ht="14.5" x14ac:dyDescent="0.35">
      <c r="B15" s="16" t="s">
        <v>22</v>
      </c>
      <c r="C15" s="20">
        <v>10492754</v>
      </c>
      <c r="D15" s="20">
        <v>9738693.0156134423</v>
      </c>
      <c r="E15" s="13">
        <f t="shared" si="2"/>
        <v>1.0774293822772336</v>
      </c>
      <c r="F15" s="21" t="e">
        <f>VLOOKUP(B15,#REF!,5)</f>
        <v>#REF!</v>
      </c>
      <c r="H15" s="29" t="e">
        <f>VLOOKUP(B15,#REF!,4)</f>
        <v>#REF!</v>
      </c>
      <c r="I15" s="20">
        <f>'WF Need'!AB19</f>
        <v>8363979.7316072527</v>
      </c>
      <c r="J15" s="13" t="e">
        <f>VLOOKUP(B15,#REF!,6)</f>
        <v>#REF!</v>
      </c>
      <c r="K15" s="21" t="e">
        <f>VLOOKUP(B15,#REF!,7)</f>
        <v>#REF!</v>
      </c>
      <c r="M15" s="29" t="e">
        <f t="shared" si="3"/>
        <v>#REF!</v>
      </c>
      <c r="N15" s="34" t="e">
        <f t="shared" si="4"/>
        <v>#REF!</v>
      </c>
      <c r="O15" s="20">
        <f t="shared" si="0"/>
        <v>-1374713.2840061896</v>
      </c>
      <c r="P15" s="35">
        <f t="shared" si="1"/>
        <v>-0.14115993612307082</v>
      </c>
    </row>
    <row r="16" spans="2:16" ht="14.5" x14ac:dyDescent="0.35">
      <c r="B16" s="16" t="s">
        <v>10</v>
      </c>
      <c r="C16" s="20">
        <v>2343914</v>
      </c>
      <c r="D16" s="20">
        <v>2271352.2224028148</v>
      </c>
      <c r="E16" s="13">
        <f t="shared" si="2"/>
        <v>1.0319465104889913</v>
      </c>
      <c r="F16" s="21" t="e">
        <f>VLOOKUP(B16,#REF!,5)</f>
        <v>#REF!</v>
      </c>
      <c r="H16" s="29" t="e">
        <f>VLOOKUP(B16,#REF!,4)</f>
        <v>#REF!</v>
      </c>
      <c r="I16" s="20">
        <f>'WF Need'!AB20</f>
        <v>2499943.171104603</v>
      </c>
      <c r="J16" s="13" t="e">
        <f>VLOOKUP(B16,#REF!,6)</f>
        <v>#REF!</v>
      </c>
      <c r="K16" s="21" t="e">
        <f>VLOOKUP(B16,#REF!,7)</f>
        <v>#REF!</v>
      </c>
      <c r="M16" s="29" t="e">
        <f t="shared" si="3"/>
        <v>#REF!</v>
      </c>
      <c r="N16" s="34" t="e">
        <f t="shared" si="4"/>
        <v>#REF!</v>
      </c>
      <c r="O16" s="20">
        <f t="shared" si="0"/>
        <v>228590.94870178821</v>
      </c>
      <c r="P16" s="35">
        <f t="shared" si="1"/>
        <v>0.10064090740623519</v>
      </c>
    </row>
    <row r="17" spans="2:16" ht="14.5" x14ac:dyDescent="0.35">
      <c r="B17" s="16" t="s">
        <v>43</v>
      </c>
      <c r="C17" s="20">
        <v>62809351</v>
      </c>
      <c r="D17" s="20">
        <v>73668735.186847121</v>
      </c>
      <c r="E17" s="13">
        <f t="shared" si="2"/>
        <v>0.85259168412075625</v>
      </c>
      <c r="F17" s="21" t="e">
        <f>VLOOKUP(B17,#REF!,5)</f>
        <v>#REF!</v>
      </c>
      <c r="H17" s="29" t="e">
        <f>VLOOKUP(B17,#REF!,4)</f>
        <v>#REF!</v>
      </c>
      <c r="I17" s="20">
        <f>'WF Need'!AB21</f>
        <v>66131987.639705405</v>
      </c>
      <c r="J17" s="13" t="e">
        <f>VLOOKUP(B17,#REF!,6)</f>
        <v>#REF!</v>
      </c>
      <c r="K17" s="21" t="e">
        <f>VLOOKUP(B17,#REF!,7)</f>
        <v>#REF!</v>
      </c>
      <c r="M17" s="29" t="e">
        <f t="shared" si="3"/>
        <v>#REF!</v>
      </c>
      <c r="N17" s="34" t="e">
        <f t="shared" si="4"/>
        <v>#REF!</v>
      </c>
      <c r="O17" s="20">
        <f t="shared" si="0"/>
        <v>-7536747.5471417159</v>
      </c>
      <c r="P17" s="35">
        <f t="shared" si="1"/>
        <v>-0.10230591753782863</v>
      </c>
    </row>
    <row r="18" spans="2:16" ht="14.5" x14ac:dyDescent="0.35">
      <c r="B18" s="16" t="s">
        <v>23</v>
      </c>
      <c r="C18" s="20">
        <v>9924340.75</v>
      </c>
      <c r="D18" s="20">
        <v>11675694.725025401</v>
      </c>
      <c r="E18" s="13">
        <f t="shared" si="2"/>
        <v>0.85000002001837283</v>
      </c>
      <c r="F18" s="21" t="e">
        <f>VLOOKUP(B18,#REF!,5)</f>
        <v>#REF!</v>
      </c>
      <c r="H18" s="29" t="e">
        <f>VLOOKUP(B18,#REF!,4)</f>
        <v>#REF!</v>
      </c>
      <c r="I18" s="20">
        <f>'WF Need'!AB22</f>
        <v>11937680.642155364</v>
      </c>
      <c r="J18" s="13" t="e">
        <f>VLOOKUP(B18,#REF!,6)</f>
        <v>#REF!</v>
      </c>
      <c r="K18" s="21" t="e">
        <f>VLOOKUP(B18,#REF!,7)</f>
        <v>#REF!</v>
      </c>
      <c r="M18" s="29" t="e">
        <f t="shared" si="3"/>
        <v>#REF!</v>
      </c>
      <c r="N18" s="34" t="e">
        <f t="shared" si="4"/>
        <v>#REF!</v>
      </c>
      <c r="O18" s="20">
        <f t="shared" si="0"/>
        <v>261985.91712996364</v>
      </c>
      <c r="P18" s="35">
        <f t="shared" si="1"/>
        <v>2.2438572033613501E-2</v>
      </c>
    </row>
    <row r="19" spans="2:16" ht="14.5" x14ac:dyDescent="0.35">
      <c r="B19" s="16" t="s">
        <v>24</v>
      </c>
      <c r="C19" s="20">
        <v>4669234.45</v>
      </c>
      <c r="D19" s="20">
        <v>5493217.0420673583</v>
      </c>
      <c r="E19" s="13">
        <f t="shared" si="2"/>
        <v>0.84999999349065325</v>
      </c>
      <c r="F19" s="21" t="e">
        <f>VLOOKUP(B19,#REF!,5)</f>
        <v>#REF!</v>
      </c>
      <c r="H19" s="29" t="e">
        <f>VLOOKUP(B19,#REF!,4)</f>
        <v>#REF!</v>
      </c>
      <c r="I19" s="20">
        <f>'WF Need'!AB23</f>
        <v>5522042.6865802724</v>
      </c>
      <c r="J19" s="13" t="e">
        <f>VLOOKUP(B19,#REF!,6)</f>
        <v>#REF!</v>
      </c>
      <c r="K19" s="21" t="e">
        <f>VLOOKUP(B19,#REF!,7)</f>
        <v>#REF!</v>
      </c>
      <c r="M19" s="29" t="e">
        <f t="shared" si="3"/>
        <v>#REF!</v>
      </c>
      <c r="N19" s="34" t="e">
        <f t="shared" si="4"/>
        <v>#REF!</v>
      </c>
      <c r="O19" s="20">
        <f t="shared" si="0"/>
        <v>28825.644512914121</v>
      </c>
      <c r="P19" s="35">
        <f t="shared" si="1"/>
        <v>5.2474978309004997E-3</v>
      </c>
    </row>
    <row r="20" spans="2:16" ht="14.5" x14ac:dyDescent="0.35">
      <c r="B20" s="16" t="s">
        <v>11</v>
      </c>
      <c r="C20" s="20">
        <v>2553568</v>
      </c>
      <c r="D20" s="20">
        <v>2263343.559430887</v>
      </c>
      <c r="E20" s="13">
        <f t="shared" si="2"/>
        <v>1.1282281867283503</v>
      </c>
      <c r="F20" s="21" t="e">
        <f>VLOOKUP(B20,#REF!,5)</f>
        <v>#REF!</v>
      </c>
      <c r="H20" s="29" t="e">
        <f>VLOOKUP(B20,#REF!,4)</f>
        <v>#REF!</v>
      </c>
      <c r="I20" s="20">
        <f>'WF Need'!AB24</f>
        <v>2332823.239583293</v>
      </c>
      <c r="J20" s="13" t="e">
        <f>VLOOKUP(B20,#REF!,6)</f>
        <v>#REF!</v>
      </c>
      <c r="K20" s="21" t="e">
        <f>VLOOKUP(B20,#REF!,7)</f>
        <v>#REF!</v>
      </c>
      <c r="M20" s="29" t="e">
        <f t="shared" si="3"/>
        <v>#REF!</v>
      </c>
      <c r="N20" s="34" t="e">
        <f t="shared" si="4"/>
        <v>#REF!</v>
      </c>
      <c r="O20" s="20">
        <f t="shared" si="0"/>
        <v>69479.680152405985</v>
      </c>
      <c r="P20" s="35">
        <f t="shared" si="1"/>
        <v>3.0697805405148701E-2</v>
      </c>
    </row>
    <row r="21" spans="2:16" ht="14.5" x14ac:dyDescent="0.35">
      <c r="B21" s="16" t="s">
        <v>54</v>
      </c>
      <c r="C21" s="20">
        <v>696728248.19999993</v>
      </c>
      <c r="D21" s="20">
        <v>819680291.52896309</v>
      </c>
      <c r="E21" s="13">
        <f t="shared" si="2"/>
        <v>0.85000000048846036</v>
      </c>
      <c r="F21" s="21" t="e">
        <f>VLOOKUP(B21,#REF!,5)</f>
        <v>#REF!</v>
      </c>
      <c r="H21" s="29" t="e">
        <f>VLOOKUP(B21,#REF!,4)</f>
        <v>#REF!</v>
      </c>
      <c r="I21" s="20">
        <f>'WF Need'!AB25</f>
        <v>782911051.89954555</v>
      </c>
      <c r="J21" s="13" t="e">
        <f>VLOOKUP(B21,#REF!,6)</f>
        <v>#REF!</v>
      </c>
      <c r="K21" s="21" t="e">
        <f>VLOOKUP(B21,#REF!,7)</f>
        <v>#REF!</v>
      </c>
      <c r="M21" s="29" t="e">
        <f t="shared" si="3"/>
        <v>#REF!</v>
      </c>
      <c r="N21" s="34" t="e">
        <f t="shared" si="4"/>
        <v>#REF!</v>
      </c>
      <c r="O21" s="20">
        <f t="shared" si="0"/>
        <v>-36769239.629417539</v>
      </c>
      <c r="P21" s="35">
        <f t="shared" si="1"/>
        <v>-4.4858025756397378E-2</v>
      </c>
    </row>
    <row r="22" spans="2:16" ht="14.5" x14ac:dyDescent="0.35">
      <c r="B22" s="16" t="s">
        <v>25</v>
      </c>
      <c r="C22" s="20">
        <v>11058669.15</v>
      </c>
      <c r="D22" s="20">
        <v>13010198.767199522</v>
      </c>
      <c r="E22" s="13">
        <f t="shared" si="2"/>
        <v>0.85000001520963753</v>
      </c>
      <c r="F22" s="21" t="e">
        <f>VLOOKUP(B22,#REF!,5)</f>
        <v>#REF!</v>
      </c>
      <c r="H22" s="29" t="e">
        <f>VLOOKUP(B22,#REF!,4)</f>
        <v>#REF!</v>
      </c>
      <c r="I22" s="20">
        <f>'WF Need'!AB26</f>
        <v>13312565.861414256</v>
      </c>
      <c r="J22" s="13" t="e">
        <f>VLOOKUP(B22,#REF!,6)</f>
        <v>#REF!</v>
      </c>
      <c r="K22" s="21" t="e">
        <f>VLOOKUP(B22,#REF!,7)</f>
        <v>#REF!</v>
      </c>
      <c r="M22" s="29" t="e">
        <f t="shared" si="3"/>
        <v>#REF!</v>
      </c>
      <c r="N22" s="34" t="e">
        <f t="shared" si="4"/>
        <v>#REF!</v>
      </c>
      <c r="O22" s="20">
        <f t="shared" si="0"/>
        <v>302367.09421473369</v>
      </c>
      <c r="P22" s="35">
        <f t="shared" si="1"/>
        <v>2.3240774382098005E-2</v>
      </c>
    </row>
    <row r="23" spans="2:16" ht="14.5" x14ac:dyDescent="0.35">
      <c r="B23" s="16" t="s">
        <v>26</v>
      </c>
      <c r="C23" s="20">
        <v>13986764</v>
      </c>
      <c r="D23" s="20">
        <v>15094820.096735086</v>
      </c>
      <c r="E23" s="13">
        <f t="shared" si="2"/>
        <v>0.92659362021977643</v>
      </c>
      <c r="F23" s="21" t="e">
        <f>VLOOKUP(B23,#REF!,5)</f>
        <v>#REF!</v>
      </c>
      <c r="H23" s="29" t="e">
        <f>VLOOKUP(B23,#REF!,4)</f>
        <v>#REF!</v>
      </c>
      <c r="I23" s="20">
        <f>'WF Need'!AB27</f>
        <v>15317859.861304056</v>
      </c>
      <c r="J23" s="13" t="e">
        <f>VLOOKUP(B23,#REF!,6)</f>
        <v>#REF!</v>
      </c>
      <c r="K23" s="21" t="e">
        <f>VLOOKUP(B23,#REF!,7)</f>
        <v>#REF!</v>
      </c>
      <c r="M23" s="29" t="e">
        <f t="shared" si="3"/>
        <v>#REF!</v>
      </c>
      <c r="N23" s="34" t="e">
        <f t="shared" si="4"/>
        <v>#REF!</v>
      </c>
      <c r="O23" s="20">
        <f t="shared" si="0"/>
        <v>223039.76456896961</v>
      </c>
      <c r="P23" s="35">
        <f t="shared" si="1"/>
        <v>1.477591406453474E-2</v>
      </c>
    </row>
    <row r="24" spans="2:16" ht="14.5" x14ac:dyDescent="0.35">
      <c r="B24" s="16" t="s">
        <v>12</v>
      </c>
      <c r="C24" s="20">
        <v>1639792</v>
      </c>
      <c r="D24" s="20">
        <v>1798556.4455715318</v>
      </c>
      <c r="E24" s="13">
        <f t="shared" si="2"/>
        <v>0.91172673731622544</v>
      </c>
      <c r="F24" s="21" t="e">
        <f>VLOOKUP(B24,#REF!,5)</f>
        <v>#REF!</v>
      </c>
      <c r="H24" s="29" t="e">
        <f>VLOOKUP(B24,#REF!,4)</f>
        <v>#REF!</v>
      </c>
      <c r="I24" s="20">
        <f>'WF Need'!AB28</f>
        <v>1805697.3288968455</v>
      </c>
      <c r="J24" s="13" t="e">
        <f>VLOOKUP(B24,#REF!,6)</f>
        <v>#REF!</v>
      </c>
      <c r="K24" s="21" t="e">
        <f>VLOOKUP(B24,#REF!,7)</f>
        <v>#REF!</v>
      </c>
      <c r="M24" s="29" t="e">
        <f t="shared" si="3"/>
        <v>#REF!</v>
      </c>
      <c r="N24" s="34" t="e">
        <f t="shared" si="4"/>
        <v>#REF!</v>
      </c>
      <c r="O24" s="20">
        <f t="shared" si="0"/>
        <v>7140.8833253136836</v>
      </c>
      <c r="P24" s="35">
        <f t="shared" si="1"/>
        <v>3.9703415163289506E-3</v>
      </c>
    </row>
    <row r="25" spans="2:16" ht="14.5" x14ac:dyDescent="0.35">
      <c r="B25" s="16" t="s">
        <v>27</v>
      </c>
      <c r="C25" s="20">
        <v>7063064</v>
      </c>
      <c r="D25" s="20">
        <v>7538190.5724505903</v>
      </c>
      <c r="E25" s="13">
        <f t="shared" si="2"/>
        <v>0.93697074014193682</v>
      </c>
      <c r="F25" s="21" t="e">
        <f>VLOOKUP(B25,#REF!,5)</f>
        <v>#REF!</v>
      </c>
      <c r="H25" s="29" t="e">
        <f>VLOOKUP(B25,#REF!,4)</f>
        <v>#REF!</v>
      </c>
      <c r="I25" s="20">
        <f>'WF Need'!AB29</f>
        <v>7231739.4312225534</v>
      </c>
      <c r="J25" s="13" t="e">
        <f>VLOOKUP(B25,#REF!,6)</f>
        <v>#REF!</v>
      </c>
      <c r="K25" s="21" t="e">
        <f>VLOOKUP(B25,#REF!,7)</f>
        <v>#REF!</v>
      </c>
      <c r="M25" s="29" t="e">
        <f t="shared" si="3"/>
        <v>#REF!</v>
      </c>
      <c r="N25" s="34" t="e">
        <f t="shared" si="4"/>
        <v>#REF!</v>
      </c>
      <c r="O25" s="20">
        <f t="shared" si="0"/>
        <v>-306451.14122803695</v>
      </c>
      <c r="P25" s="35">
        <f t="shared" si="1"/>
        <v>-4.0653143255359854E-2</v>
      </c>
    </row>
    <row r="26" spans="2:16" ht="14.5" x14ac:dyDescent="0.35">
      <c r="B26" s="16" t="s">
        <v>28</v>
      </c>
      <c r="C26" s="20">
        <v>15888366.6</v>
      </c>
      <c r="D26" s="20">
        <v>18692196.12439302</v>
      </c>
      <c r="E26" s="13">
        <f t="shared" si="2"/>
        <v>0.84999999434341122</v>
      </c>
      <c r="F26" s="21" t="e">
        <f>VLOOKUP(B26,#REF!,5)</f>
        <v>#REF!</v>
      </c>
      <c r="H26" s="29" t="e">
        <f>VLOOKUP(B26,#REF!,4)</f>
        <v>#REF!</v>
      </c>
      <c r="I26" s="20">
        <f>'WF Need'!AB30</f>
        <v>18090994.088094279</v>
      </c>
      <c r="J26" s="13" t="e">
        <f>VLOOKUP(B26,#REF!,6)</f>
        <v>#REF!</v>
      </c>
      <c r="K26" s="21" t="e">
        <f>VLOOKUP(B26,#REF!,7)</f>
        <v>#REF!</v>
      </c>
      <c r="M26" s="29" t="e">
        <f t="shared" si="3"/>
        <v>#REF!</v>
      </c>
      <c r="N26" s="34" t="e">
        <f t="shared" si="4"/>
        <v>#REF!</v>
      </c>
      <c r="O26" s="20">
        <f t="shared" si="0"/>
        <v>-601202.03629874066</v>
      </c>
      <c r="P26" s="35">
        <f t="shared" si="1"/>
        <v>-3.2163263872145097E-2</v>
      </c>
    </row>
    <row r="27" spans="2:16" ht="14.5" x14ac:dyDescent="0.35">
      <c r="B27" s="16" t="s">
        <v>13</v>
      </c>
      <c r="C27" s="20">
        <v>1276377</v>
      </c>
      <c r="D27" s="20">
        <v>1219811.2468836694</v>
      </c>
      <c r="E27" s="13">
        <f t="shared" si="2"/>
        <v>1.0463725459663065</v>
      </c>
      <c r="F27" s="21" t="e">
        <f>VLOOKUP(B27,#REF!,5)</f>
        <v>#REF!</v>
      </c>
      <c r="H27" s="29" t="e">
        <f>VLOOKUP(B27,#REF!,4)</f>
        <v>#REF!</v>
      </c>
      <c r="I27" s="20">
        <f>'WF Need'!AB31</f>
        <v>1279449.3564290348</v>
      </c>
      <c r="J27" s="13" t="e">
        <f>VLOOKUP(B27,#REF!,6)</f>
        <v>#REF!</v>
      </c>
      <c r="K27" s="21" t="e">
        <f>VLOOKUP(B27,#REF!,7)</f>
        <v>#REF!</v>
      </c>
      <c r="M27" s="29" t="e">
        <f t="shared" si="3"/>
        <v>#REF!</v>
      </c>
      <c r="N27" s="34" t="e">
        <f t="shared" si="4"/>
        <v>#REF!</v>
      </c>
      <c r="O27" s="20">
        <f t="shared" si="0"/>
        <v>59638.109545365442</v>
      </c>
      <c r="P27" s="35">
        <f t="shared" si="1"/>
        <v>4.8891260592757092E-2</v>
      </c>
    </row>
    <row r="28" spans="2:16" ht="14.5" x14ac:dyDescent="0.35">
      <c r="B28" s="16" t="s">
        <v>14</v>
      </c>
      <c r="C28" s="20">
        <v>2338492</v>
      </c>
      <c r="D28" s="20">
        <v>1974168.6920006627</v>
      </c>
      <c r="E28" s="13">
        <f t="shared" si="2"/>
        <v>1.1845451756354846</v>
      </c>
      <c r="F28" s="21" t="e">
        <f>VLOOKUP(B28,#REF!,5)</f>
        <v>#REF!</v>
      </c>
      <c r="H28" s="29" t="e">
        <f>VLOOKUP(B28,#REF!,4)</f>
        <v>#REF!</v>
      </c>
      <c r="I28" s="20">
        <f>'WF Need'!AB32</f>
        <v>2061574.5609917394</v>
      </c>
      <c r="J28" s="13" t="e">
        <f>VLOOKUP(B28,#REF!,6)</f>
        <v>#REF!</v>
      </c>
      <c r="K28" s="21" t="e">
        <f>VLOOKUP(B28,#REF!,7)</f>
        <v>#REF!</v>
      </c>
      <c r="M28" s="29" t="e">
        <f t="shared" si="3"/>
        <v>#REF!</v>
      </c>
      <c r="N28" s="34" t="e">
        <f t="shared" si="4"/>
        <v>#REF!</v>
      </c>
      <c r="O28" s="20">
        <f t="shared" si="0"/>
        <v>87405.868991076713</v>
      </c>
      <c r="P28" s="35">
        <f t="shared" si="1"/>
        <v>4.4274772133326576E-2</v>
      </c>
    </row>
    <row r="29" spans="2:16" ht="14.5" x14ac:dyDescent="0.35">
      <c r="B29" s="16" t="s">
        <v>44</v>
      </c>
      <c r="C29" s="20">
        <v>23678988.050000001</v>
      </c>
      <c r="D29" s="20">
        <v>27857632.853599183</v>
      </c>
      <c r="E29" s="13">
        <f t="shared" si="2"/>
        <v>0.85000000446702328</v>
      </c>
      <c r="F29" s="21" t="e">
        <f>VLOOKUP(B29,#REF!,5)</f>
        <v>#REF!</v>
      </c>
      <c r="H29" s="29" t="e">
        <f>VLOOKUP(B29,#REF!,4)</f>
        <v>#REF!</v>
      </c>
      <c r="I29" s="20">
        <f>'WF Need'!AB33</f>
        <v>28026310.157663789</v>
      </c>
      <c r="J29" s="13" t="e">
        <f>VLOOKUP(B29,#REF!,6)</f>
        <v>#REF!</v>
      </c>
      <c r="K29" s="21" t="e">
        <f>VLOOKUP(B29,#REF!,7)</f>
        <v>#REF!</v>
      </c>
      <c r="M29" s="29" t="e">
        <f t="shared" si="3"/>
        <v>#REF!</v>
      </c>
      <c r="N29" s="34" t="e">
        <f t="shared" si="4"/>
        <v>#REF!</v>
      </c>
      <c r="O29" s="20">
        <f t="shared" si="0"/>
        <v>168677.30406460539</v>
      </c>
      <c r="P29" s="35">
        <f t="shared" si="1"/>
        <v>6.0549762053028287E-3</v>
      </c>
    </row>
    <row r="30" spans="2:16" ht="14.5" x14ac:dyDescent="0.35">
      <c r="B30" s="16" t="s">
        <v>29</v>
      </c>
      <c r="C30" s="20">
        <v>9011926.0999999996</v>
      </c>
      <c r="D30" s="20">
        <v>10602266.286604147</v>
      </c>
      <c r="E30" s="13">
        <f t="shared" si="2"/>
        <v>0.84999997702250452</v>
      </c>
      <c r="F30" s="21" t="e">
        <f>VLOOKUP(B30,#REF!,5)</f>
        <v>#REF!</v>
      </c>
      <c r="H30" s="29" t="e">
        <f>VLOOKUP(B30,#REF!,4)</f>
        <v>#REF!</v>
      </c>
      <c r="I30" s="20">
        <f>'WF Need'!AB34</f>
        <v>10386822.766043261</v>
      </c>
      <c r="J30" s="13" t="e">
        <f>VLOOKUP(B30,#REF!,6)</f>
        <v>#REF!</v>
      </c>
      <c r="K30" s="21" t="e">
        <f>VLOOKUP(B30,#REF!,7)</f>
        <v>#REF!</v>
      </c>
      <c r="M30" s="29" t="e">
        <f t="shared" si="3"/>
        <v>#REF!</v>
      </c>
      <c r="N30" s="34" t="e">
        <f t="shared" si="4"/>
        <v>#REF!</v>
      </c>
      <c r="O30" s="20">
        <f t="shared" si="0"/>
        <v>-215443.52056088671</v>
      </c>
      <c r="P30" s="35">
        <f t="shared" si="1"/>
        <v>-2.0320515891314422E-2</v>
      </c>
    </row>
    <row r="31" spans="2:16" ht="14.5" x14ac:dyDescent="0.35">
      <c r="B31" s="16" t="s">
        <v>30</v>
      </c>
      <c r="C31" s="20">
        <v>6181354.7000000002</v>
      </c>
      <c r="D31" s="20">
        <v>7272181.8883402795</v>
      </c>
      <c r="E31" s="13">
        <f t="shared" si="2"/>
        <v>0.85000001305120854</v>
      </c>
      <c r="F31" s="21" t="e">
        <f>VLOOKUP(B31,#REF!,5)</f>
        <v>#REF!</v>
      </c>
      <c r="H31" s="29" t="e">
        <f>VLOOKUP(B31,#REF!,4)</f>
        <v>#REF!</v>
      </c>
      <c r="I31" s="20">
        <f>'WF Need'!AB35</f>
        <v>7599776.5498515666</v>
      </c>
      <c r="J31" s="13" t="e">
        <f>VLOOKUP(B31,#REF!,6)</f>
        <v>#REF!</v>
      </c>
      <c r="K31" s="21" t="e">
        <f>VLOOKUP(B31,#REF!,7)</f>
        <v>#REF!</v>
      </c>
      <c r="M31" s="29" t="e">
        <f t="shared" si="3"/>
        <v>#REF!</v>
      </c>
      <c r="N31" s="34" t="e">
        <f t="shared" si="4"/>
        <v>#REF!</v>
      </c>
      <c r="O31" s="20">
        <f t="shared" si="0"/>
        <v>327594.66151128709</v>
      </c>
      <c r="P31" s="35">
        <f t="shared" si="1"/>
        <v>4.5047644096544125E-2</v>
      </c>
    </row>
    <row r="32" spans="2:16" ht="14.5" x14ac:dyDescent="0.35">
      <c r="B32" s="16" t="s">
        <v>55</v>
      </c>
      <c r="C32" s="20">
        <v>175181044.94999999</v>
      </c>
      <c r="D32" s="20">
        <v>206095346.92045417</v>
      </c>
      <c r="E32" s="13">
        <f t="shared" si="2"/>
        <v>0.85000000032807121</v>
      </c>
      <c r="F32" s="21" t="e">
        <f>VLOOKUP(B32,#REF!,5)</f>
        <v>#REF!</v>
      </c>
      <c r="H32" s="29" t="e">
        <f>VLOOKUP(B32,#REF!,4)</f>
        <v>#REF!</v>
      </c>
      <c r="I32" s="20">
        <f>'WF Need'!AB36</f>
        <v>210173824.43525189</v>
      </c>
      <c r="J32" s="13" t="e">
        <f>VLOOKUP(B32,#REF!,6)</f>
        <v>#REF!</v>
      </c>
      <c r="K32" s="21" t="e">
        <f>VLOOKUP(B32,#REF!,7)</f>
        <v>#REF!</v>
      </c>
      <c r="M32" s="29" t="e">
        <f t="shared" si="3"/>
        <v>#REF!</v>
      </c>
      <c r="N32" s="34" t="e">
        <f t="shared" si="4"/>
        <v>#REF!</v>
      </c>
      <c r="O32" s="20">
        <f t="shared" si="0"/>
        <v>4078477.5147977173</v>
      </c>
      <c r="P32" s="35">
        <f t="shared" si="1"/>
        <v>1.9789275089125966E-2</v>
      </c>
    </row>
    <row r="33" spans="2:16" ht="14.5" x14ac:dyDescent="0.35">
      <c r="B33" s="16" t="s">
        <v>31</v>
      </c>
      <c r="C33" s="20">
        <v>22024833.649999999</v>
      </c>
      <c r="D33" s="20">
        <v>25911569.007889275</v>
      </c>
      <c r="E33" s="13">
        <f t="shared" si="2"/>
        <v>0.84999999974120111</v>
      </c>
      <c r="F33" s="21" t="e">
        <f>VLOOKUP(B33,#REF!,5)</f>
        <v>#REF!</v>
      </c>
      <c r="H33" s="29" t="e">
        <f>VLOOKUP(B33,#REF!,4)</f>
        <v>#REF!</v>
      </c>
      <c r="I33" s="20">
        <f>'WF Need'!AB37</f>
        <v>26685022.068954192</v>
      </c>
      <c r="J33" s="13" t="e">
        <f>VLOOKUP(B33,#REF!,6)</f>
        <v>#REF!</v>
      </c>
      <c r="K33" s="21" t="e">
        <f>VLOOKUP(B33,#REF!,7)</f>
        <v>#REF!</v>
      </c>
      <c r="M33" s="29" t="e">
        <f t="shared" si="3"/>
        <v>#REF!</v>
      </c>
      <c r="N33" s="34" t="e">
        <f t="shared" si="4"/>
        <v>#REF!</v>
      </c>
      <c r="O33" s="20">
        <f t="shared" si="0"/>
        <v>773453.06106491759</v>
      </c>
      <c r="P33" s="35">
        <f t="shared" si="1"/>
        <v>2.9849719282897341E-2</v>
      </c>
    </row>
    <row r="34" spans="2:16" ht="14.5" x14ac:dyDescent="0.35">
      <c r="B34" s="16" t="s">
        <v>15</v>
      </c>
      <c r="C34" s="20">
        <v>1763098</v>
      </c>
      <c r="D34" s="20">
        <v>1680815.4941393933</v>
      </c>
      <c r="E34" s="13">
        <f t="shared" si="2"/>
        <v>1.0489539191823887</v>
      </c>
      <c r="F34" s="21" t="e">
        <f>VLOOKUP(B34,#REF!,5)</f>
        <v>#REF!</v>
      </c>
      <c r="H34" s="29" t="e">
        <f>VLOOKUP(B34,#REF!,4)</f>
        <v>#REF!</v>
      </c>
      <c r="I34" s="20">
        <f>'WF Need'!AB38</f>
        <v>1548909.2863748549</v>
      </c>
      <c r="J34" s="13" t="e">
        <f>VLOOKUP(B34,#REF!,6)</f>
        <v>#REF!</v>
      </c>
      <c r="K34" s="21" t="e">
        <f>VLOOKUP(B34,#REF!,7)</f>
        <v>#REF!</v>
      </c>
      <c r="M34" s="29" t="e">
        <f t="shared" si="3"/>
        <v>#REF!</v>
      </c>
      <c r="N34" s="34" t="e">
        <f t="shared" si="4"/>
        <v>#REF!</v>
      </c>
      <c r="O34" s="20">
        <f t="shared" si="0"/>
        <v>-131906.20776453847</v>
      </c>
      <c r="P34" s="35">
        <f t="shared" si="1"/>
        <v>-7.8477505844314427E-2</v>
      </c>
    </row>
    <row r="35" spans="2:16" ht="14.5" x14ac:dyDescent="0.35">
      <c r="B35" s="16" t="s">
        <v>56</v>
      </c>
      <c r="C35" s="20">
        <v>125948337.75</v>
      </c>
      <c r="D35" s="20">
        <v>148174515.43086958</v>
      </c>
      <c r="E35" s="13">
        <f t="shared" si="2"/>
        <v>0.84999999752832567</v>
      </c>
      <c r="F35" s="21" t="e">
        <f>VLOOKUP(B35,#REF!,5)</f>
        <v>#REF!</v>
      </c>
      <c r="H35" s="29" t="e">
        <f>VLOOKUP(B35,#REF!,4)</f>
        <v>#REF!</v>
      </c>
      <c r="I35" s="20">
        <f>'WF Need'!AB39</f>
        <v>148941934.91151911</v>
      </c>
      <c r="J35" s="13" t="e">
        <f>VLOOKUP(B35,#REF!,6)</f>
        <v>#REF!</v>
      </c>
      <c r="K35" s="21" t="e">
        <f>VLOOKUP(B35,#REF!,7)</f>
        <v>#REF!</v>
      </c>
      <c r="M35" s="29" t="e">
        <f t="shared" ref="M35:M60" si="5">H35-C35</f>
        <v>#REF!</v>
      </c>
      <c r="N35" s="34" t="e">
        <f t="shared" ref="N35:N60" si="6">M35/C35</f>
        <v>#REF!</v>
      </c>
      <c r="O35" s="20">
        <f t="shared" ref="O35:O60" si="7">I35-D35</f>
        <v>767419.48064953089</v>
      </c>
      <c r="P35" s="35">
        <f t="shared" ref="P35:P61" si="8">O35/D35</f>
        <v>5.1791597118977482E-3</v>
      </c>
    </row>
    <row r="36" spans="2:16" ht="14.5" x14ac:dyDescent="0.35">
      <c r="B36" s="16" t="s">
        <v>57</v>
      </c>
      <c r="C36" s="20">
        <v>106223730.75</v>
      </c>
      <c r="D36" s="20">
        <v>124969094.54988866</v>
      </c>
      <c r="E36" s="13">
        <f t="shared" si="2"/>
        <v>0.85000000306151413</v>
      </c>
      <c r="F36" s="21" t="e">
        <f>VLOOKUP(B36,#REF!,5)</f>
        <v>#REF!</v>
      </c>
      <c r="H36" s="29" t="e">
        <f>VLOOKUP(B36,#REF!,4)</f>
        <v>#REF!</v>
      </c>
      <c r="I36" s="20">
        <f>'WF Need'!AB40</f>
        <v>116609119.54371148</v>
      </c>
      <c r="J36" s="13" t="e">
        <f>VLOOKUP(B36,#REF!,6)</f>
        <v>#REF!</v>
      </c>
      <c r="K36" s="21" t="e">
        <f>VLOOKUP(B36,#REF!,7)</f>
        <v>#REF!</v>
      </c>
      <c r="M36" s="29" t="e">
        <f t="shared" si="5"/>
        <v>#REF!</v>
      </c>
      <c r="N36" s="34" t="e">
        <f t="shared" si="6"/>
        <v>#REF!</v>
      </c>
      <c r="O36" s="20">
        <f t="shared" si="7"/>
        <v>-8359975.0061771721</v>
      </c>
      <c r="P36" s="35">
        <f t="shared" si="8"/>
        <v>-6.6896339741341432E-2</v>
      </c>
    </row>
    <row r="37" spans="2:16" ht="14.5" x14ac:dyDescent="0.35">
      <c r="B37" s="16" t="s">
        <v>16</v>
      </c>
      <c r="C37" s="20">
        <v>4348381</v>
      </c>
      <c r="D37" s="20">
        <v>4030122.5762615902</v>
      </c>
      <c r="E37" s="13">
        <f t="shared" si="2"/>
        <v>1.0789699116381795</v>
      </c>
      <c r="F37" s="21" t="e">
        <f>VLOOKUP(B37,#REF!,5)</f>
        <v>#REF!</v>
      </c>
      <c r="H37" s="29" t="e">
        <f>VLOOKUP(B37,#REF!,4)</f>
        <v>#REF!</v>
      </c>
      <c r="I37" s="20">
        <f>'WF Need'!AB41</f>
        <v>3952945.4276397508</v>
      </c>
      <c r="J37" s="13" t="e">
        <f>VLOOKUP(B37,#REF!,6)</f>
        <v>#REF!</v>
      </c>
      <c r="K37" s="21" t="e">
        <f>VLOOKUP(B37,#REF!,7)</f>
        <v>#REF!</v>
      </c>
      <c r="M37" s="29" t="e">
        <f t="shared" si="5"/>
        <v>#REF!</v>
      </c>
      <c r="N37" s="34" t="e">
        <f t="shared" si="6"/>
        <v>#REF!</v>
      </c>
      <c r="O37" s="20">
        <f t="shared" si="7"/>
        <v>-77177.148621839471</v>
      </c>
      <c r="P37" s="35">
        <f t="shared" si="8"/>
        <v>-1.9150074758626894E-2</v>
      </c>
    </row>
    <row r="38" spans="2:16" ht="14.5" x14ac:dyDescent="0.35">
      <c r="B38" s="16" t="s">
        <v>58</v>
      </c>
      <c r="C38" s="20">
        <v>128127066.25</v>
      </c>
      <c r="D38" s="20">
        <v>150737724.82650384</v>
      </c>
      <c r="E38" s="13">
        <f t="shared" si="2"/>
        <v>0.85000000097833328</v>
      </c>
      <c r="F38" s="21" t="e">
        <f>VLOOKUP(B38,#REF!,5)</f>
        <v>#REF!</v>
      </c>
      <c r="H38" s="29" t="e">
        <f>VLOOKUP(B38,#REF!,4)</f>
        <v>#REF!</v>
      </c>
      <c r="I38" s="20">
        <f>'WF Need'!AB42</f>
        <v>151789229.92966557</v>
      </c>
      <c r="J38" s="13" t="e">
        <f>VLOOKUP(B38,#REF!,6)</f>
        <v>#REF!</v>
      </c>
      <c r="K38" s="21" t="e">
        <f>VLOOKUP(B38,#REF!,7)</f>
        <v>#REF!</v>
      </c>
      <c r="M38" s="29" t="e">
        <f t="shared" si="5"/>
        <v>#REF!</v>
      </c>
      <c r="N38" s="34" t="e">
        <f t="shared" si="6"/>
        <v>#REF!</v>
      </c>
      <c r="O38" s="20">
        <f t="shared" si="7"/>
        <v>1051505.1031617224</v>
      </c>
      <c r="P38" s="35">
        <f t="shared" si="8"/>
        <v>6.975726244853331E-3</v>
      </c>
    </row>
    <row r="39" spans="2:16" ht="14.5" x14ac:dyDescent="0.35">
      <c r="B39" s="16" t="s">
        <v>59</v>
      </c>
      <c r="C39" s="20">
        <v>165997651</v>
      </c>
      <c r="D39" s="20">
        <v>191973298.28819248</v>
      </c>
      <c r="E39" s="13">
        <f t="shared" si="2"/>
        <v>0.86469135280888099</v>
      </c>
      <c r="F39" s="21" t="e">
        <f>VLOOKUP(B39,#REF!,5)</f>
        <v>#REF!</v>
      </c>
      <c r="H39" s="29" t="e">
        <f>VLOOKUP(B39,#REF!,4)</f>
        <v>#REF!</v>
      </c>
      <c r="I39" s="20">
        <f>'WF Need'!AB43</f>
        <v>185202538.71072969</v>
      </c>
      <c r="J39" s="13" t="e">
        <f>VLOOKUP(B39,#REF!,6)</f>
        <v>#REF!</v>
      </c>
      <c r="K39" s="21" t="e">
        <f>VLOOKUP(B39,#REF!,7)</f>
        <v>#REF!</v>
      </c>
      <c r="M39" s="29" t="e">
        <f t="shared" si="5"/>
        <v>#REF!</v>
      </c>
      <c r="N39" s="34" t="e">
        <f t="shared" si="6"/>
        <v>#REF!</v>
      </c>
      <c r="O39" s="20">
        <f t="shared" si="7"/>
        <v>-6770759.5774627924</v>
      </c>
      <c r="P39" s="35">
        <f t="shared" si="8"/>
        <v>-3.5269277747671197E-2</v>
      </c>
    </row>
    <row r="40" spans="2:16" ht="14.5" x14ac:dyDescent="0.35">
      <c r="B40" s="16" t="s">
        <v>60</v>
      </c>
      <c r="C40" s="20">
        <v>63735563</v>
      </c>
      <c r="D40" s="20">
        <v>62252777.56224785</v>
      </c>
      <c r="E40" s="13">
        <f t="shared" si="2"/>
        <v>1.0238187836080002</v>
      </c>
      <c r="F40" s="21" t="e">
        <f>VLOOKUP(B40,#REF!,5)</f>
        <v>#REF!</v>
      </c>
      <c r="H40" s="29" t="e">
        <f>VLOOKUP(B40,#REF!,4)</f>
        <v>#REF!</v>
      </c>
      <c r="I40" s="20">
        <f>'WF Need'!AB44</f>
        <v>52730195.85108047</v>
      </c>
      <c r="J40" s="13" t="e">
        <f>VLOOKUP(B40,#REF!,6)</f>
        <v>#REF!</v>
      </c>
      <c r="K40" s="21" t="e">
        <f>VLOOKUP(B40,#REF!,7)</f>
        <v>#REF!</v>
      </c>
      <c r="M40" s="29" t="e">
        <f t="shared" si="5"/>
        <v>#REF!</v>
      </c>
      <c r="N40" s="34" t="e">
        <f t="shared" si="6"/>
        <v>#REF!</v>
      </c>
      <c r="O40" s="20">
        <f t="shared" si="7"/>
        <v>-9522581.7111673802</v>
      </c>
      <c r="P40" s="35">
        <f t="shared" si="8"/>
        <v>-0.15296637490022919</v>
      </c>
    </row>
    <row r="41" spans="2:16" ht="14.5" x14ac:dyDescent="0.35">
      <c r="B41" s="16" t="s">
        <v>45</v>
      </c>
      <c r="C41" s="20">
        <v>48184158.25</v>
      </c>
      <c r="D41" s="20">
        <v>56687245.187506467</v>
      </c>
      <c r="E41" s="13">
        <f t="shared" si="2"/>
        <v>0.84999999718842401</v>
      </c>
      <c r="F41" s="21" t="e">
        <f>VLOOKUP(B41,#REF!,5)</f>
        <v>#REF!</v>
      </c>
      <c r="H41" s="29" t="e">
        <f>VLOOKUP(B41,#REF!,4)</f>
        <v>#REF!</v>
      </c>
      <c r="I41" s="20">
        <f>'WF Need'!AB45</f>
        <v>52662950.192764081</v>
      </c>
      <c r="J41" s="13" t="e">
        <f>VLOOKUP(B41,#REF!,6)</f>
        <v>#REF!</v>
      </c>
      <c r="K41" s="21" t="e">
        <f>VLOOKUP(B41,#REF!,7)</f>
        <v>#REF!</v>
      </c>
      <c r="M41" s="29" t="e">
        <f t="shared" si="5"/>
        <v>#REF!</v>
      </c>
      <c r="N41" s="34" t="e">
        <f t="shared" si="6"/>
        <v>#REF!</v>
      </c>
      <c r="O41" s="20">
        <f t="shared" si="7"/>
        <v>-4024294.994742386</v>
      </c>
      <c r="P41" s="35">
        <f t="shared" si="8"/>
        <v>-7.0991190018690781E-2</v>
      </c>
    </row>
    <row r="42" spans="2:16" ht="14.5" x14ac:dyDescent="0.35">
      <c r="B42" s="16" t="s">
        <v>32</v>
      </c>
      <c r="C42" s="20">
        <v>17456682.899999999</v>
      </c>
      <c r="D42" s="20">
        <v>20537274.273800369</v>
      </c>
      <c r="E42" s="13">
        <f t="shared" si="2"/>
        <v>0.84999998866790638</v>
      </c>
      <c r="F42" s="21" t="e">
        <f>VLOOKUP(B42,#REF!,5)</f>
        <v>#REF!</v>
      </c>
      <c r="H42" s="29" t="e">
        <f>VLOOKUP(B42,#REF!,4)</f>
        <v>#REF!</v>
      </c>
      <c r="I42" s="20">
        <f>'WF Need'!AB46</f>
        <v>19188902.409859862</v>
      </c>
      <c r="J42" s="13" t="e">
        <f>VLOOKUP(B42,#REF!,6)</f>
        <v>#REF!</v>
      </c>
      <c r="K42" s="21" t="e">
        <f>VLOOKUP(B42,#REF!,7)</f>
        <v>#REF!</v>
      </c>
      <c r="M42" s="29" t="e">
        <f t="shared" si="5"/>
        <v>#REF!</v>
      </c>
      <c r="N42" s="34" t="e">
        <f t="shared" si="6"/>
        <v>#REF!</v>
      </c>
      <c r="O42" s="20">
        <f t="shared" si="7"/>
        <v>-1348371.8639405072</v>
      </c>
      <c r="P42" s="35">
        <f t="shared" si="8"/>
        <v>-6.5654859839927263E-2</v>
      </c>
    </row>
    <row r="43" spans="2:16" ht="14.5" x14ac:dyDescent="0.35">
      <c r="B43" s="16" t="s">
        <v>46</v>
      </c>
      <c r="C43" s="20">
        <v>42484708</v>
      </c>
      <c r="D43" s="20">
        <v>48051532.490990616</v>
      </c>
      <c r="E43" s="13">
        <f t="shared" si="2"/>
        <v>0.88414886680181604</v>
      </c>
      <c r="F43" s="21" t="e">
        <f>VLOOKUP(B43,#REF!,5)</f>
        <v>#REF!</v>
      </c>
      <c r="H43" s="29" t="e">
        <f>VLOOKUP(B43,#REF!,4)</f>
        <v>#REF!</v>
      </c>
      <c r="I43" s="20">
        <f>'WF Need'!AB47</f>
        <v>49452193.984779567</v>
      </c>
      <c r="J43" s="13" t="e">
        <f>VLOOKUP(B43,#REF!,6)</f>
        <v>#REF!</v>
      </c>
      <c r="K43" s="21" t="e">
        <f>VLOOKUP(B43,#REF!,7)</f>
        <v>#REF!</v>
      </c>
      <c r="M43" s="29" t="e">
        <f t="shared" si="5"/>
        <v>#REF!</v>
      </c>
      <c r="N43" s="34" t="e">
        <f t="shared" si="6"/>
        <v>#REF!</v>
      </c>
      <c r="O43" s="20">
        <f t="shared" si="7"/>
        <v>1400661.4937889501</v>
      </c>
      <c r="P43" s="35">
        <f t="shared" si="8"/>
        <v>2.9149153443785918E-2</v>
      </c>
    </row>
    <row r="44" spans="2:16" ht="14.5" x14ac:dyDescent="0.35">
      <c r="B44" s="16" t="s">
        <v>47</v>
      </c>
      <c r="C44" s="20">
        <v>26277821</v>
      </c>
      <c r="D44" s="20">
        <v>30835346.898725338</v>
      </c>
      <c r="E44" s="13">
        <f t="shared" si="2"/>
        <v>0.85219800141396385</v>
      </c>
      <c r="F44" s="21" t="e">
        <f>VLOOKUP(B44,#REF!,5)</f>
        <v>#REF!</v>
      </c>
      <c r="H44" s="29" t="e">
        <f>VLOOKUP(B44,#REF!,4)</f>
        <v>#REF!</v>
      </c>
      <c r="I44" s="20">
        <f>'WF Need'!AB48</f>
        <v>28421721.865567524</v>
      </c>
      <c r="J44" s="13" t="e">
        <f>VLOOKUP(B44,#REF!,6)</f>
        <v>#REF!</v>
      </c>
      <c r="K44" s="21" t="e">
        <f>VLOOKUP(B44,#REF!,7)</f>
        <v>#REF!</v>
      </c>
      <c r="M44" s="29" t="e">
        <f t="shared" si="5"/>
        <v>#REF!</v>
      </c>
      <c r="N44" s="34" t="e">
        <f t="shared" si="6"/>
        <v>#REF!</v>
      </c>
      <c r="O44" s="20">
        <f t="shared" si="7"/>
        <v>-2413625.0331578143</v>
      </c>
      <c r="P44" s="35">
        <f t="shared" si="8"/>
        <v>-7.8274619094931858E-2</v>
      </c>
    </row>
    <row r="45" spans="2:16" ht="14.5" x14ac:dyDescent="0.35">
      <c r="B45" s="16" t="s">
        <v>61</v>
      </c>
      <c r="C45" s="20">
        <v>88862335.399999991</v>
      </c>
      <c r="D45" s="20">
        <v>104543924.35035498</v>
      </c>
      <c r="E45" s="13">
        <f t="shared" si="2"/>
        <v>0.84999999715141983</v>
      </c>
      <c r="F45" s="21" t="e">
        <f>VLOOKUP(B45,#REF!,5)</f>
        <v>#REF!</v>
      </c>
      <c r="H45" s="29" t="e">
        <f>VLOOKUP(B45,#REF!,4)</f>
        <v>#REF!</v>
      </c>
      <c r="I45" s="20">
        <f>'WF Need'!AB49</f>
        <v>96965024.101496458</v>
      </c>
      <c r="J45" s="13" t="e">
        <f>VLOOKUP(B45,#REF!,6)</f>
        <v>#REF!</v>
      </c>
      <c r="K45" s="21" t="e">
        <f>VLOOKUP(B45,#REF!,7)</f>
        <v>#REF!</v>
      </c>
      <c r="M45" s="29" t="e">
        <f t="shared" si="5"/>
        <v>#REF!</v>
      </c>
      <c r="N45" s="34" t="e">
        <f t="shared" si="6"/>
        <v>#REF!</v>
      </c>
      <c r="O45" s="20">
        <f t="shared" si="7"/>
        <v>-7578900.2488585263</v>
      </c>
      <c r="P45" s="35">
        <f t="shared" si="8"/>
        <v>-7.2494889549578986E-2</v>
      </c>
    </row>
    <row r="46" spans="2:16" ht="14.5" x14ac:dyDescent="0.35">
      <c r="B46" s="16" t="s">
        <v>33</v>
      </c>
      <c r="C46" s="20">
        <v>15796262.299999999</v>
      </c>
      <c r="D46" s="20">
        <v>18583837.73710452</v>
      </c>
      <c r="E46" s="13">
        <f t="shared" si="2"/>
        <v>0.85000001202448927</v>
      </c>
      <c r="F46" s="21" t="e">
        <f>VLOOKUP(B46,#REF!,5)</f>
        <v>#REF!</v>
      </c>
      <c r="H46" s="29" t="e">
        <f>VLOOKUP(B46,#REF!,4)</f>
        <v>#REF!</v>
      </c>
      <c r="I46" s="20">
        <f>'WF Need'!AB50</f>
        <v>17092255.826901093</v>
      </c>
      <c r="J46" s="13" t="e">
        <f>VLOOKUP(B46,#REF!,6)</f>
        <v>#REF!</v>
      </c>
      <c r="K46" s="21" t="e">
        <f>VLOOKUP(B46,#REF!,7)</f>
        <v>#REF!</v>
      </c>
      <c r="M46" s="29" t="e">
        <f t="shared" si="5"/>
        <v>#REF!</v>
      </c>
      <c r="N46" s="34" t="e">
        <f t="shared" si="6"/>
        <v>#REF!</v>
      </c>
      <c r="O46" s="20">
        <f t="shared" si="7"/>
        <v>-1491581.9102034271</v>
      </c>
      <c r="P46" s="35">
        <f t="shared" si="8"/>
        <v>-8.0262318865673921E-2</v>
      </c>
    </row>
    <row r="47" spans="2:16" ht="14.5" x14ac:dyDescent="0.35">
      <c r="B47" s="16" t="s">
        <v>34</v>
      </c>
      <c r="C47" s="20">
        <v>14391215.699999999</v>
      </c>
      <c r="D47" s="20">
        <v>16930842.38751762</v>
      </c>
      <c r="E47" s="13">
        <f t="shared" si="2"/>
        <v>0.84999998054497405</v>
      </c>
      <c r="F47" s="21" t="e">
        <f>VLOOKUP(B47,#REF!,5)</f>
        <v>#REF!</v>
      </c>
      <c r="H47" s="29" t="e">
        <f>VLOOKUP(B47,#REF!,4)</f>
        <v>#REF!</v>
      </c>
      <c r="I47" s="20">
        <f>'WF Need'!AB51</f>
        <v>17062242.170704372</v>
      </c>
      <c r="J47" s="13" t="e">
        <f>VLOOKUP(B47,#REF!,6)</f>
        <v>#REF!</v>
      </c>
      <c r="K47" s="21" t="e">
        <f>VLOOKUP(B47,#REF!,7)</f>
        <v>#REF!</v>
      </c>
      <c r="M47" s="29" t="e">
        <f t="shared" si="5"/>
        <v>#REF!</v>
      </c>
      <c r="N47" s="34" t="e">
        <f t="shared" si="6"/>
        <v>#REF!</v>
      </c>
      <c r="O47" s="20">
        <f t="shared" si="7"/>
        <v>131399.78318675235</v>
      </c>
      <c r="P47" s="35">
        <f t="shared" si="8"/>
        <v>7.7609713786968891E-3</v>
      </c>
    </row>
    <row r="48" spans="2:16" ht="14.5" x14ac:dyDescent="0.35">
      <c r="B48" s="16" t="s">
        <v>17</v>
      </c>
      <c r="C48" s="20">
        <v>800000</v>
      </c>
      <c r="D48" s="20">
        <v>405753.6521603986</v>
      </c>
      <c r="E48" s="13">
        <f t="shared" si="2"/>
        <v>1.9716396777711609</v>
      </c>
      <c r="F48" s="21" t="e">
        <f>VLOOKUP(B48,#REF!,5)</f>
        <v>#REF!</v>
      </c>
      <c r="H48" s="29" t="e">
        <f>VLOOKUP(B48,#REF!,4)</f>
        <v>#REF!</v>
      </c>
      <c r="I48" s="20">
        <f>'WF Need'!AB52</f>
        <v>447005.85047201556</v>
      </c>
      <c r="J48" s="13" t="e">
        <f>VLOOKUP(B48,#REF!,6)</f>
        <v>#REF!</v>
      </c>
      <c r="K48" s="21" t="e">
        <f>VLOOKUP(B48,#REF!,7)</f>
        <v>#REF!</v>
      </c>
      <c r="M48" s="29" t="e">
        <f t="shared" si="5"/>
        <v>#REF!</v>
      </c>
      <c r="N48" s="34" t="e">
        <f t="shared" si="6"/>
        <v>#REF!</v>
      </c>
      <c r="O48" s="20">
        <f t="shared" si="7"/>
        <v>41252.198311616958</v>
      </c>
      <c r="P48" s="35">
        <f t="shared" si="8"/>
        <v>0.10166808873308561</v>
      </c>
    </row>
    <row r="49" spans="2:16" ht="14.5" x14ac:dyDescent="0.35">
      <c r="B49" s="16" t="s">
        <v>35</v>
      </c>
      <c r="C49" s="20">
        <v>3835398.9</v>
      </c>
      <c r="D49" s="20">
        <v>4512233.5287036272</v>
      </c>
      <c r="E49" s="13">
        <f t="shared" si="2"/>
        <v>0.85000008878129074</v>
      </c>
      <c r="F49" s="21" t="e">
        <f>VLOOKUP(B49,#REF!,5)</f>
        <v>#REF!</v>
      </c>
      <c r="H49" s="29" t="e">
        <f>VLOOKUP(B49,#REF!,4)</f>
        <v>#REF!</v>
      </c>
      <c r="I49" s="20">
        <f>'WF Need'!AB53</f>
        <v>4784618.8205178576</v>
      </c>
      <c r="J49" s="13" t="e">
        <f>VLOOKUP(B49,#REF!,6)</f>
        <v>#REF!</v>
      </c>
      <c r="K49" s="21" t="e">
        <f>VLOOKUP(B49,#REF!,7)</f>
        <v>#REF!</v>
      </c>
      <c r="M49" s="29" t="e">
        <f t="shared" si="5"/>
        <v>#REF!</v>
      </c>
      <c r="N49" s="34" t="e">
        <f t="shared" si="6"/>
        <v>#REF!</v>
      </c>
      <c r="O49" s="20">
        <f t="shared" si="7"/>
        <v>272385.29181423038</v>
      </c>
      <c r="P49" s="35">
        <f t="shared" si="8"/>
        <v>6.0365956256809065E-2</v>
      </c>
    </row>
    <row r="50" spans="2:16" ht="14.5" x14ac:dyDescent="0.35">
      <c r="B50" s="16" t="s">
        <v>48</v>
      </c>
      <c r="C50" s="20">
        <v>27509525.800000001</v>
      </c>
      <c r="D50" s="20">
        <v>32364148.222190667</v>
      </c>
      <c r="E50" s="13">
        <f t="shared" si="2"/>
        <v>0.8499999941644667</v>
      </c>
      <c r="F50" s="21" t="e">
        <f>VLOOKUP(B50,#REF!,5)</f>
        <v>#REF!</v>
      </c>
      <c r="H50" s="29" t="e">
        <f>VLOOKUP(B50,#REF!,4)</f>
        <v>#REF!</v>
      </c>
      <c r="I50" s="20">
        <f>'WF Need'!AB54</f>
        <v>31325060.340073947</v>
      </c>
      <c r="J50" s="13" t="e">
        <f>VLOOKUP(B50,#REF!,6)</f>
        <v>#REF!</v>
      </c>
      <c r="K50" s="21" t="e">
        <f>VLOOKUP(B50,#REF!,7)</f>
        <v>#REF!</v>
      </c>
      <c r="M50" s="29" t="e">
        <f t="shared" si="5"/>
        <v>#REF!</v>
      </c>
      <c r="N50" s="34" t="e">
        <f t="shared" si="6"/>
        <v>#REF!</v>
      </c>
      <c r="O50" s="20">
        <f t="shared" si="7"/>
        <v>-1039087.8821167201</v>
      </c>
      <c r="P50" s="35">
        <f t="shared" si="8"/>
        <v>-3.2106140256898945E-2</v>
      </c>
    </row>
    <row r="51" spans="2:16" ht="14.5" x14ac:dyDescent="0.35">
      <c r="B51" s="16" t="s">
        <v>49</v>
      </c>
      <c r="C51" s="20">
        <v>27941056.349999998</v>
      </c>
      <c r="D51" s="20">
        <v>32871831.367461272</v>
      </c>
      <c r="E51" s="13">
        <f t="shared" si="2"/>
        <v>0.84999999049818431</v>
      </c>
      <c r="F51" s="21" t="e">
        <f>VLOOKUP(B51,#REF!,5)</f>
        <v>#REF!</v>
      </c>
      <c r="H51" s="29" t="e">
        <f>VLOOKUP(B51,#REF!,4)</f>
        <v>#REF!</v>
      </c>
      <c r="I51" s="20">
        <f>'WF Need'!AB55</f>
        <v>30618987.893071949</v>
      </c>
      <c r="J51" s="13" t="e">
        <f>VLOOKUP(B51,#REF!,6)</f>
        <v>#REF!</v>
      </c>
      <c r="K51" s="21" t="e">
        <f>VLOOKUP(B51,#REF!,7)</f>
        <v>#REF!</v>
      </c>
      <c r="M51" s="29" t="e">
        <f t="shared" si="5"/>
        <v>#REF!</v>
      </c>
      <c r="N51" s="34" t="e">
        <f t="shared" si="6"/>
        <v>#REF!</v>
      </c>
      <c r="O51" s="20">
        <f t="shared" si="7"/>
        <v>-2252843.4743893221</v>
      </c>
      <c r="P51" s="35">
        <f t="shared" si="8"/>
        <v>-6.8534163770970685E-2</v>
      </c>
    </row>
    <row r="52" spans="2:16" ht="14.5" x14ac:dyDescent="0.35">
      <c r="B52" s="16" t="s">
        <v>50</v>
      </c>
      <c r="C52" s="20">
        <v>29989740.800000001</v>
      </c>
      <c r="D52" s="20">
        <v>35282048.399092562</v>
      </c>
      <c r="E52" s="13">
        <f t="shared" si="2"/>
        <v>0.84999999038523288</v>
      </c>
      <c r="F52" s="21" t="e">
        <f>VLOOKUP(B52,#REF!,5)</f>
        <v>#REF!</v>
      </c>
      <c r="H52" s="29" t="e">
        <f>VLOOKUP(B52,#REF!,4)</f>
        <v>#REF!</v>
      </c>
      <c r="I52" s="20">
        <f>'WF Need'!AB56</f>
        <v>34469128.984439082</v>
      </c>
      <c r="J52" s="13" t="e">
        <f>VLOOKUP(B52,#REF!,6)</f>
        <v>#REF!</v>
      </c>
      <c r="K52" s="21" t="e">
        <f>VLOOKUP(B52,#REF!,7)</f>
        <v>#REF!</v>
      </c>
      <c r="M52" s="29" t="e">
        <f t="shared" si="5"/>
        <v>#REF!</v>
      </c>
      <c r="N52" s="34" t="e">
        <f t="shared" si="6"/>
        <v>#REF!</v>
      </c>
      <c r="O52" s="20">
        <f t="shared" si="7"/>
        <v>-812919.41465348005</v>
      </c>
      <c r="P52" s="35">
        <f t="shared" si="8"/>
        <v>-2.3040595757314021E-2</v>
      </c>
    </row>
    <row r="53" spans="2:16" ht="14.5" x14ac:dyDescent="0.35">
      <c r="B53" s="16" t="s">
        <v>36</v>
      </c>
      <c r="C53" s="20">
        <v>7805652.8499999996</v>
      </c>
      <c r="D53" s="20">
        <v>9183120.7926147375</v>
      </c>
      <c r="E53" s="13">
        <f t="shared" si="2"/>
        <v>0.85000001919581336</v>
      </c>
      <c r="F53" s="21" t="e">
        <f>VLOOKUP(B53,#REF!,5)</f>
        <v>#REF!</v>
      </c>
      <c r="H53" s="29" t="e">
        <f>VLOOKUP(B53,#REF!,4)</f>
        <v>#REF!</v>
      </c>
      <c r="I53" s="20">
        <f>'WF Need'!AB57</f>
        <v>9151366.957197303</v>
      </c>
      <c r="J53" s="13" t="e">
        <f>VLOOKUP(B53,#REF!,6)</f>
        <v>#REF!</v>
      </c>
      <c r="K53" s="21" t="e">
        <f>VLOOKUP(B53,#REF!,7)</f>
        <v>#REF!</v>
      </c>
      <c r="M53" s="29" t="e">
        <f t="shared" si="5"/>
        <v>#REF!</v>
      </c>
      <c r="N53" s="34" t="e">
        <f t="shared" si="6"/>
        <v>#REF!</v>
      </c>
      <c r="O53" s="20">
        <f t="shared" si="7"/>
        <v>-31753.835417434573</v>
      </c>
      <c r="P53" s="35">
        <f t="shared" si="8"/>
        <v>-3.457847951098682E-3</v>
      </c>
    </row>
    <row r="54" spans="2:16" ht="14.5" x14ac:dyDescent="0.35">
      <c r="B54" s="16" t="s">
        <v>37</v>
      </c>
      <c r="C54" s="20">
        <v>5447312</v>
      </c>
      <c r="D54" s="20">
        <v>6309266.3502482707</v>
      </c>
      <c r="E54" s="13">
        <f t="shared" si="2"/>
        <v>0.86338279248357419</v>
      </c>
      <c r="F54" s="21" t="e">
        <f>VLOOKUP(B54,#REF!,5)</f>
        <v>#REF!</v>
      </c>
      <c r="H54" s="29" t="e">
        <f>VLOOKUP(B54,#REF!,4)</f>
        <v>#REF!</v>
      </c>
      <c r="I54" s="20">
        <f>'WF Need'!AB58</f>
        <v>6383645.0067075761</v>
      </c>
      <c r="J54" s="13" t="e">
        <f>VLOOKUP(B54,#REF!,6)</f>
        <v>#REF!</v>
      </c>
      <c r="K54" s="21" t="e">
        <f>VLOOKUP(B54,#REF!,7)</f>
        <v>#REF!</v>
      </c>
      <c r="M54" s="29" t="e">
        <f t="shared" si="5"/>
        <v>#REF!</v>
      </c>
      <c r="N54" s="34" t="e">
        <f t="shared" si="6"/>
        <v>#REF!</v>
      </c>
      <c r="O54" s="20">
        <f t="shared" si="7"/>
        <v>74378.656459305435</v>
      </c>
      <c r="P54" s="35">
        <f t="shared" si="8"/>
        <v>1.1788796403622842E-2</v>
      </c>
    </row>
    <row r="55" spans="2:16" ht="14.5" x14ac:dyDescent="0.35">
      <c r="B55" s="16" t="s">
        <v>18</v>
      </c>
      <c r="C55" s="20">
        <v>1916942</v>
      </c>
      <c r="D55" s="20">
        <v>1957377.02822892</v>
      </c>
      <c r="E55" s="13">
        <f t="shared" si="2"/>
        <v>0.97934223828839628</v>
      </c>
      <c r="F55" s="21" t="e">
        <f>VLOOKUP(B55,#REF!,5)</f>
        <v>#REF!</v>
      </c>
      <c r="H55" s="29" t="e">
        <f>VLOOKUP(B55,#REF!,4)</f>
        <v>#REF!</v>
      </c>
      <c r="I55" s="20">
        <f>'WF Need'!AB59</f>
        <v>2141889.3892899626</v>
      </c>
      <c r="J55" s="13" t="e">
        <f>VLOOKUP(B55,#REF!,6)</f>
        <v>#REF!</v>
      </c>
      <c r="K55" s="21" t="e">
        <f>VLOOKUP(B55,#REF!,7)</f>
        <v>#REF!</v>
      </c>
      <c r="M55" s="29" t="e">
        <f t="shared" si="5"/>
        <v>#REF!</v>
      </c>
      <c r="N55" s="34" t="e">
        <f t="shared" si="6"/>
        <v>#REF!</v>
      </c>
      <c r="O55" s="20">
        <f t="shared" si="7"/>
        <v>184512.36106104264</v>
      </c>
      <c r="P55" s="35">
        <f t="shared" si="8"/>
        <v>9.4265110093783869E-2</v>
      </c>
    </row>
    <row r="56" spans="2:16" ht="14.5" x14ac:dyDescent="0.35">
      <c r="B56" s="16" t="s">
        <v>51</v>
      </c>
      <c r="C56" s="20">
        <v>28543617.099999998</v>
      </c>
      <c r="D56" s="20">
        <v>33580725.53291133</v>
      </c>
      <c r="E56" s="13">
        <f t="shared" si="2"/>
        <v>0.85000001182301332</v>
      </c>
      <c r="F56" s="21" t="e">
        <f>VLOOKUP(B56,#REF!,5)</f>
        <v>#REF!</v>
      </c>
      <c r="H56" s="29" t="e">
        <f>VLOOKUP(B56,#REF!,4)</f>
        <v>#REF!</v>
      </c>
      <c r="I56" s="20">
        <f>'WF Need'!AB60</f>
        <v>35475355.737711258</v>
      </c>
      <c r="J56" s="13" t="e">
        <f>VLOOKUP(B56,#REF!,6)</f>
        <v>#REF!</v>
      </c>
      <c r="K56" s="21" t="e">
        <f>VLOOKUP(B56,#REF!,7)</f>
        <v>#REF!</v>
      </c>
      <c r="M56" s="29" t="e">
        <f t="shared" si="5"/>
        <v>#REF!</v>
      </c>
      <c r="N56" s="34" t="e">
        <f t="shared" si="6"/>
        <v>#REF!</v>
      </c>
      <c r="O56" s="20">
        <f t="shared" si="7"/>
        <v>1894630.2047999278</v>
      </c>
      <c r="P56" s="35">
        <f t="shared" si="8"/>
        <v>5.6420168853798733E-2</v>
      </c>
    </row>
    <row r="57" spans="2:16" ht="14.5" x14ac:dyDescent="0.35">
      <c r="B57" s="16" t="s">
        <v>38</v>
      </c>
      <c r="C57" s="20">
        <v>4447375</v>
      </c>
      <c r="D57" s="20">
        <v>4989741.3203672785</v>
      </c>
      <c r="E57" s="13">
        <f t="shared" si="2"/>
        <v>0.89130371986350654</v>
      </c>
      <c r="F57" s="21" t="e">
        <f>VLOOKUP(B57,#REF!,5)</f>
        <v>#REF!</v>
      </c>
      <c r="H57" s="29" t="e">
        <f>VLOOKUP(B57,#REF!,4)</f>
        <v>#REF!</v>
      </c>
      <c r="I57" s="20">
        <f>'WF Need'!AB61</f>
        <v>4885338.1820669621</v>
      </c>
      <c r="J57" s="13" t="e">
        <f>VLOOKUP(B57,#REF!,6)</f>
        <v>#REF!</v>
      </c>
      <c r="K57" s="21" t="e">
        <f>VLOOKUP(B57,#REF!,7)</f>
        <v>#REF!</v>
      </c>
      <c r="M57" s="29" t="e">
        <f t="shared" si="5"/>
        <v>#REF!</v>
      </c>
      <c r="N57" s="34" t="e">
        <f t="shared" si="6"/>
        <v>#REF!</v>
      </c>
      <c r="O57" s="20">
        <f t="shared" si="7"/>
        <v>-104403.13830031641</v>
      </c>
      <c r="P57" s="35">
        <f t="shared" si="8"/>
        <v>-2.0923557274233933E-2</v>
      </c>
    </row>
    <row r="58" spans="2:16" ht="14.5" x14ac:dyDescent="0.35">
      <c r="B58" s="16" t="s">
        <v>52</v>
      </c>
      <c r="C58" s="20">
        <v>43266489.199999996</v>
      </c>
      <c r="D58" s="20">
        <v>50901751.759995237</v>
      </c>
      <c r="E58" s="13">
        <f t="shared" si="2"/>
        <v>0.85000000400780007</v>
      </c>
      <c r="F58" s="21" t="e">
        <f>VLOOKUP(B58,#REF!,5)</f>
        <v>#REF!</v>
      </c>
      <c r="H58" s="29" t="e">
        <f>VLOOKUP(B58,#REF!,4)</f>
        <v>#REF!</v>
      </c>
      <c r="I58" s="20">
        <f>'WF Need'!AB62</f>
        <v>46987642.711367249</v>
      </c>
      <c r="J58" s="13" t="e">
        <f>VLOOKUP(B58,#REF!,6)</f>
        <v>#REF!</v>
      </c>
      <c r="K58" s="21" t="e">
        <f>VLOOKUP(B58,#REF!,7)</f>
        <v>#REF!</v>
      </c>
      <c r="M58" s="29" t="e">
        <f t="shared" si="5"/>
        <v>#REF!</v>
      </c>
      <c r="N58" s="34" t="e">
        <f t="shared" si="6"/>
        <v>#REF!</v>
      </c>
      <c r="O58" s="20">
        <f t="shared" si="7"/>
        <v>-3914109.0486279875</v>
      </c>
      <c r="P58" s="35">
        <f t="shared" si="8"/>
        <v>-7.6895370263154059E-2</v>
      </c>
    </row>
    <row r="59" spans="2:16" ht="14.5" x14ac:dyDescent="0.35">
      <c r="B59" s="16" t="s">
        <v>39</v>
      </c>
      <c r="C59" s="20">
        <v>14966761.75</v>
      </c>
      <c r="D59" s="20">
        <v>17607955.335067444</v>
      </c>
      <c r="E59" s="13">
        <f t="shared" si="2"/>
        <v>0.84999998382507669</v>
      </c>
      <c r="F59" s="21" t="e">
        <f>VLOOKUP(B59,#REF!,5)</f>
        <v>#REF!</v>
      </c>
      <c r="H59" s="29" t="e">
        <f>VLOOKUP(B59,#REF!,4)</f>
        <v>#REF!</v>
      </c>
      <c r="I59" s="20">
        <f>'WF Need'!AB63</f>
        <v>16165651.874359354</v>
      </c>
      <c r="J59" s="13" t="e">
        <f>VLOOKUP(B59,#REF!,6)</f>
        <v>#REF!</v>
      </c>
      <c r="K59" s="21" t="e">
        <f>VLOOKUP(B59,#REF!,7)</f>
        <v>#REF!</v>
      </c>
      <c r="M59" s="29" t="e">
        <f t="shared" si="5"/>
        <v>#REF!</v>
      </c>
      <c r="N59" s="34" t="e">
        <f t="shared" si="6"/>
        <v>#REF!</v>
      </c>
      <c r="O59" s="20">
        <f t="shared" si="7"/>
        <v>-1442303.4607080892</v>
      </c>
      <c r="P59" s="35">
        <f t="shared" si="8"/>
        <v>-8.1912035398888333E-2</v>
      </c>
    </row>
    <row r="60" spans="2:16" ht="15" thickBot="1" x14ac:dyDescent="0.4">
      <c r="B60" s="22" t="s">
        <v>40</v>
      </c>
      <c r="C60" s="23">
        <v>5898802</v>
      </c>
      <c r="D60" s="23">
        <v>5150429.0825688168</v>
      </c>
      <c r="E60" s="13">
        <f t="shared" si="2"/>
        <v>1.1453030233857577</v>
      </c>
      <c r="F60" s="25" t="e">
        <f>VLOOKUP(B60,#REF!,5)</f>
        <v>#REF!</v>
      </c>
      <c r="H60" s="30" t="e">
        <f>VLOOKUP(B60,#REF!,4)</f>
        <v>#REF!</v>
      </c>
      <c r="I60" s="20">
        <f>'WF Need'!AB64</f>
        <v>5858506.8506472996</v>
      </c>
      <c r="J60" s="24" t="e">
        <f>VLOOKUP(B60,#REF!,6)</f>
        <v>#REF!</v>
      </c>
      <c r="K60" s="25" t="e">
        <f>VLOOKUP(B60,#REF!,7)</f>
        <v>#REF!</v>
      </c>
      <c r="M60" s="30" t="e">
        <f t="shared" si="5"/>
        <v>#REF!</v>
      </c>
      <c r="N60" s="36" t="e">
        <f t="shared" si="6"/>
        <v>#REF!</v>
      </c>
      <c r="O60" s="23">
        <f t="shared" si="7"/>
        <v>708077.76807848271</v>
      </c>
      <c r="P60" s="37">
        <f>O60/D60</f>
        <v>0.13747937438356561</v>
      </c>
    </row>
    <row r="61" spans="2:16" s="3" customFormat="1" ht="14.5" x14ac:dyDescent="0.35">
      <c r="B61" s="19" t="s">
        <v>0</v>
      </c>
      <c r="C61" s="12">
        <v>2374789441.9000001</v>
      </c>
      <c r="D61" s="12">
        <v>2754156851.2087941</v>
      </c>
      <c r="E61" s="13">
        <f t="shared" si="2"/>
        <v>0.86225642554007398</v>
      </c>
      <c r="H61" s="31" t="e">
        <f>SUM(H3:H60)</f>
        <v>#REF!</v>
      </c>
      <c r="I61" s="31">
        <f>SUM(I3:I60)</f>
        <v>2659201514.9508262</v>
      </c>
      <c r="J61" s="32" t="e">
        <f>VLOOKUP(B61,#REF!,6)</f>
        <v>#REF!</v>
      </c>
      <c r="M61" s="12"/>
      <c r="N61" s="12"/>
      <c r="O61" s="12">
        <f t="shared" ref="O61" si="9">SUM(O3:O60)</f>
        <v>-94955336.25796777</v>
      </c>
      <c r="P61" s="38">
        <f t="shared" si="8"/>
        <v>-3.4477098214755655E-2</v>
      </c>
    </row>
    <row r="62" spans="2:16" ht="14.5" x14ac:dyDescent="0.35">
      <c r="B62" s="17"/>
    </row>
  </sheetData>
  <conditionalFormatting sqref="P3:P61">
    <cfRule type="colorScale" priority="1">
      <colorScale>
        <cfvo type="min"/>
        <cfvo type="percentile" val="50"/>
        <cfvo type="max"/>
        <color rgb="FFF8696B"/>
        <color rgb="FFFCFCFF"/>
        <color rgb="FF63BE7B"/>
      </colorScale>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AD75"/>
  <sheetViews>
    <sheetView tabSelected="1" view="pageBreakPreview" zoomScaleNormal="100" zoomScaleSheetLayoutView="100" workbookViewId="0">
      <pane xSplit="3" ySplit="6" topLeftCell="D56" activePane="bottomRight" state="frozen"/>
      <selection pane="topRight" activeCell="D1" sqref="D1"/>
      <selection pane="bottomLeft" activeCell="A7" sqref="A7"/>
      <selection pane="bottomRight" activeCell="G2" sqref="G2"/>
    </sheetView>
  </sheetViews>
  <sheetFormatPr defaultColWidth="9.1796875" defaultRowHeight="15.5" x14ac:dyDescent="0.35"/>
  <cols>
    <col min="1" max="1" width="7.1796875" style="43" customWidth="1"/>
    <col min="2" max="2" width="14.81640625" style="52" bestFit="1" customWidth="1"/>
    <col min="3" max="3" width="1.81640625" style="52" customWidth="1"/>
    <col min="4" max="4" width="12.1796875" style="52" customWidth="1"/>
    <col min="5" max="5" width="13.1796875" style="52" bestFit="1" customWidth="1"/>
    <col min="6" max="6" width="9.1796875" style="52" customWidth="1"/>
    <col min="7" max="7" width="1.81640625" style="52" customWidth="1"/>
    <col min="8" max="8" width="15.81640625" style="52" bestFit="1" customWidth="1"/>
    <col min="9" max="9" width="16.81640625" style="52" bestFit="1" customWidth="1"/>
    <col min="10" max="10" width="16.1796875" style="52" bestFit="1" customWidth="1"/>
    <col min="11" max="11" width="13.1796875" style="52" bestFit="1" customWidth="1"/>
    <col min="12" max="12" width="15" style="52" bestFit="1" customWidth="1"/>
    <col min="13" max="13" width="1.81640625" style="52" customWidth="1"/>
    <col min="14" max="14" width="10.81640625" style="52" customWidth="1"/>
    <col min="15" max="15" width="19.81640625" style="52" bestFit="1" customWidth="1"/>
    <col min="16" max="16" width="1.81640625" style="52" customWidth="1"/>
    <col min="17" max="18" width="12.1796875" style="52" bestFit="1" customWidth="1"/>
    <col min="19" max="19" width="15" style="52" bestFit="1" customWidth="1"/>
    <col min="20" max="20" width="13.54296875" style="52" customWidth="1"/>
    <col min="21" max="21" width="17.1796875" style="52" bestFit="1" customWidth="1"/>
    <col min="22" max="22" width="17.453125" style="52" bestFit="1" customWidth="1"/>
    <col min="23" max="23" width="17.453125" style="61" bestFit="1" customWidth="1"/>
    <col min="24" max="24" width="1.81640625" style="52" customWidth="1"/>
    <col min="25" max="25" width="17.453125" style="52" bestFit="1" customWidth="1"/>
    <col min="26" max="26" width="1.81640625" style="52" customWidth="1"/>
    <col min="27" max="27" width="18.1796875" style="52" bestFit="1" customWidth="1"/>
    <col min="28" max="28" width="20.1796875" style="62" bestFit="1" customWidth="1"/>
    <col min="29" max="29" width="15.1796875" style="52" customWidth="1"/>
    <col min="30" max="30" width="17.453125" style="54" customWidth="1"/>
    <col min="31" max="16384" width="9.1796875" style="52"/>
  </cols>
  <sheetData>
    <row r="1" spans="1:30" s="43" customFormat="1" ht="20.149999999999999" customHeight="1" x14ac:dyDescent="0.35">
      <c r="A1" s="45" t="s">
        <v>251</v>
      </c>
      <c r="C1" s="50"/>
      <c r="D1" s="50"/>
      <c r="E1" s="50"/>
      <c r="F1" s="50"/>
      <c r="G1" s="50"/>
      <c r="H1" s="51"/>
      <c r="I1" s="51"/>
      <c r="J1" s="51"/>
      <c r="K1" s="50"/>
      <c r="L1" s="50"/>
      <c r="M1" s="50"/>
      <c r="N1" s="50"/>
      <c r="O1" s="50"/>
      <c r="P1" s="50"/>
      <c r="Q1" s="50"/>
      <c r="R1" s="50"/>
      <c r="S1" s="50"/>
      <c r="T1" s="50"/>
      <c r="U1" s="50"/>
      <c r="V1" s="50"/>
      <c r="W1" s="50"/>
      <c r="X1" s="50"/>
      <c r="Y1" s="50"/>
      <c r="Z1" s="50"/>
      <c r="AA1" s="50"/>
      <c r="AB1" s="50"/>
      <c r="AC1" s="50"/>
      <c r="AD1" s="42"/>
    </row>
    <row r="2" spans="1:30" s="43" customFormat="1" ht="20.149999999999999" customHeight="1" x14ac:dyDescent="0.35">
      <c r="A2" s="48" t="s">
        <v>238</v>
      </c>
      <c r="C2" s="50"/>
      <c r="D2" s="50"/>
      <c r="E2" s="50"/>
      <c r="F2" s="50"/>
      <c r="G2" s="50"/>
      <c r="H2" s="51"/>
      <c r="I2" s="51"/>
      <c r="J2" s="51"/>
      <c r="K2" s="50"/>
      <c r="L2" s="50"/>
      <c r="M2" s="50"/>
      <c r="N2" s="50"/>
      <c r="O2" s="50"/>
      <c r="P2" s="50"/>
      <c r="Q2" s="50"/>
      <c r="R2" s="50"/>
      <c r="S2" s="50"/>
      <c r="T2" s="50"/>
      <c r="U2" s="50"/>
      <c r="V2" s="50"/>
      <c r="W2" s="50"/>
      <c r="X2" s="50"/>
      <c r="Y2" s="50"/>
      <c r="Z2" s="50"/>
      <c r="AA2" s="50"/>
      <c r="AB2" s="50"/>
      <c r="AC2" s="50"/>
      <c r="AD2" s="42"/>
    </row>
    <row r="3" spans="1:30" s="43" customFormat="1" ht="20.149999999999999" customHeight="1" x14ac:dyDescent="0.35">
      <c r="A3" s="46"/>
      <c r="B3" s="49"/>
      <c r="C3" s="50"/>
      <c r="D3" s="50"/>
      <c r="E3" s="50"/>
      <c r="F3" s="50"/>
      <c r="G3" s="50"/>
      <c r="H3" s="51"/>
      <c r="I3" s="51"/>
      <c r="J3" s="51"/>
      <c r="K3" s="50"/>
      <c r="L3" s="50"/>
      <c r="M3" s="50"/>
      <c r="N3" s="50"/>
      <c r="O3" s="50"/>
      <c r="P3" s="50"/>
      <c r="Q3" s="50"/>
      <c r="R3" s="50"/>
      <c r="S3" s="50"/>
      <c r="T3" s="50"/>
      <c r="U3" s="50"/>
      <c r="V3" s="50"/>
      <c r="W3" s="50"/>
      <c r="X3" s="50"/>
      <c r="Y3" s="50"/>
      <c r="Z3" s="50"/>
      <c r="AA3" s="50"/>
      <c r="AB3" s="50"/>
      <c r="AC3" s="50"/>
      <c r="AD3" s="42"/>
    </row>
    <row r="4" spans="1:30" s="43" customFormat="1" ht="47.15" customHeight="1" x14ac:dyDescent="0.35">
      <c r="A4" s="63"/>
      <c r="B4" s="63"/>
      <c r="C4" s="80"/>
      <c r="D4" s="289" t="s">
        <v>213</v>
      </c>
      <c r="E4" s="290"/>
      <c r="F4" s="290"/>
      <c r="G4" s="80"/>
      <c r="H4" s="298" t="s">
        <v>138</v>
      </c>
      <c r="I4" s="298"/>
      <c r="J4" s="298"/>
      <c r="K4" s="298"/>
      <c r="L4" s="298"/>
      <c r="M4" s="80"/>
      <c r="N4" s="291" t="s">
        <v>147</v>
      </c>
      <c r="O4" s="291"/>
      <c r="P4" s="80"/>
      <c r="Q4" s="294" t="s">
        <v>218</v>
      </c>
      <c r="R4" s="295"/>
      <c r="S4" s="295"/>
      <c r="T4" s="296"/>
      <c r="U4" s="297" t="s">
        <v>149</v>
      </c>
      <c r="V4" s="297"/>
      <c r="W4" s="297"/>
      <c r="X4" s="80"/>
      <c r="Y4" s="288" t="s">
        <v>219</v>
      </c>
      <c r="Z4" s="80"/>
      <c r="AA4" s="42"/>
      <c r="AB4" s="42"/>
      <c r="AC4" s="42"/>
      <c r="AD4" s="42"/>
    </row>
    <row r="5" spans="1:30" s="43" customFormat="1" ht="79.5" x14ac:dyDescent="0.35">
      <c r="A5" s="292" t="s">
        <v>68</v>
      </c>
      <c r="B5" s="292" t="s">
        <v>63</v>
      </c>
      <c r="C5" s="80"/>
      <c r="D5" s="41" t="s">
        <v>158</v>
      </c>
      <c r="E5" s="41" t="s">
        <v>159</v>
      </c>
      <c r="F5" s="41" t="s">
        <v>137</v>
      </c>
      <c r="G5" s="80"/>
      <c r="H5" s="73" t="s">
        <v>139</v>
      </c>
      <c r="I5" s="73" t="s">
        <v>214</v>
      </c>
      <c r="J5" s="74" t="s">
        <v>215</v>
      </c>
      <c r="K5" s="74" t="s">
        <v>216</v>
      </c>
      <c r="L5" s="73" t="s">
        <v>140</v>
      </c>
      <c r="M5" s="80"/>
      <c r="N5" s="72" t="s">
        <v>217</v>
      </c>
      <c r="O5" s="72" t="s">
        <v>148</v>
      </c>
      <c r="P5" s="80"/>
      <c r="Q5" s="94" t="s">
        <v>150</v>
      </c>
      <c r="R5" s="95" t="s">
        <v>151</v>
      </c>
      <c r="S5" s="94" t="s">
        <v>152</v>
      </c>
      <c r="T5" s="95" t="s">
        <v>153</v>
      </c>
      <c r="U5" s="96" t="s">
        <v>154</v>
      </c>
      <c r="V5" s="96" t="s">
        <v>155</v>
      </c>
      <c r="W5" s="96" t="s">
        <v>67</v>
      </c>
      <c r="X5" s="80"/>
      <c r="Y5" s="288"/>
      <c r="Z5" s="80"/>
      <c r="AA5" s="249" t="s">
        <v>220</v>
      </c>
      <c r="AB5" s="93" t="s">
        <v>206</v>
      </c>
      <c r="AC5" s="93" t="s">
        <v>207</v>
      </c>
      <c r="AD5" s="44"/>
    </row>
    <row r="6" spans="1:30" s="79" customFormat="1" ht="15" customHeight="1" x14ac:dyDescent="0.35">
      <c r="A6" s="293"/>
      <c r="B6" s="293"/>
      <c r="C6" s="81"/>
      <c r="D6" s="77" t="s">
        <v>65</v>
      </c>
      <c r="E6" s="77" t="s">
        <v>1</v>
      </c>
      <c r="F6" s="77" t="s">
        <v>66</v>
      </c>
      <c r="G6" s="81"/>
      <c r="H6" s="77" t="s">
        <v>2</v>
      </c>
      <c r="I6" s="77" t="s">
        <v>3</v>
      </c>
      <c r="J6" s="77" t="s">
        <v>83</v>
      </c>
      <c r="K6" s="77" t="s">
        <v>110</v>
      </c>
      <c r="L6" s="77" t="s">
        <v>84</v>
      </c>
      <c r="M6" s="81"/>
      <c r="N6" s="77" t="s">
        <v>85</v>
      </c>
      <c r="O6" s="77" t="s">
        <v>111</v>
      </c>
      <c r="P6" s="81"/>
      <c r="Q6" s="77" t="s">
        <v>112</v>
      </c>
      <c r="R6" s="77" t="s">
        <v>86</v>
      </c>
      <c r="S6" s="77" t="s">
        <v>76</v>
      </c>
      <c r="T6" s="77" t="s">
        <v>113</v>
      </c>
      <c r="U6" s="77" t="s">
        <v>141</v>
      </c>
      <c r="V6" s="77" t="s">
        <v>142</v>
      </c>
      <c r="W6" s="77" t="s">
        <v>143</v>
      </c>
      <c r="X6" s="81"/>
      <c r="Y6" s="77" t="s">
        <v>144</v>
      </c>
      <c r="Z6" s="81"/>
      <c r="AA6" s="77" t="s">
        <v>145</v>
      </c>
      <c r="AB6" s="77" t="s">
        <v>156</v>
      </c>
      <c r="AC6" s="77" t="s">
        <v>146</v>
      </c>
      <c r="AD6" s="78"/>
    </row>
    <row r="7" spans="1:30" ht="20.149999999999999" customHeight="1" x14ac:dyDescent="0.35">
      <c r="A7" s="64">
        <v>4</v>
      </c>
      <c r="B7" s="65" t="s">
        <v>53</v>
      </c>
      <c r="C7" s="80"/>
      <c r="D7" s="66">
        <f>RAS!M7</f>
        <v>434</v>
      </c>
      <c r="E7" s="66">
        <f>RAS!Q7</f>
        <v>71</v>
      </c>
      <c r="F7" s="67">
        <f>SUM(D7:E7)</f>
        <v>505</v>
      </c>
      <c r="G7" s="80"/>
      <c r="H7" s="69">
        <f>(F7-1)*'AVG RAS salary'!$F$66</f>
        <v>36535545.469582483</v>
      </c>
      <c r="I7" s="69">
        <f>(F7-1)*(VLOOKUP(B7,'FTE Allotment Factor'!$B$6:$D$63,3))</f>
        <v>54668353.799908601</v>
      </c>
      <c r="J7" s="69">
        <f>(F7-1)*(VLOOKUP(B7,'FTE Allotment Factor'!$B$6:$H$63,7))</f>
        <v>54668353.799908601</v>
      </c>
      <c r="K7" s="69">
        <f>VLOOKUP(A7,'CEO Salary'!$G$7:$H$13,2)</f>
        <v>290847.02558999998</v>
      </c>
      <c r="L7" s="69">
        <f>IF(N7&lt;&gt;0,N7*K7,K7)</f>
        <v>435196.13275906263</v>
      </c>
      <c r="M7" s="80"/>
      <c r="N7" s="84">
        <f>VLOOKUP(B7,BLS!$B$5:$I$64,8, FALSE)</f>
        <v>1.4963059425354004</v>
      </c>
      <c r="O7" s="88">
        <f>J7+L7</f>
        <v>55103549.932667665</v>
      </c>
      <c r="P7" s="80"/>
      <c r="Q7" s="86">
        <f>VLOOKUP(B7,'Program 10'!$A$7:$G$64,6)</f>
        <v>0.31666478334632869</v>
      </c>
      <c r="R7" s="69">
        <f>VLOOKUP(B7,'Program 10'!$A$7:$G$64,7)</f>
        <v>18983.504823169977</v>
      </c>
      <c r="S7" s="86">
        <f>VLOOKUP(B7,'Program 90'!$A$7:$G$64,6)</f>
        <v>0.31633346287477471</v>
      </c>
      <c r="T7" s="69">
        <f>VLOOKUP(B7,'Program 90'!$A$7:$G$64,7)</f>
        <v>20509.800889415728</v>
      </c>
      <c r="U7" s="221">
        <f>(D7*VLOOKUP(B7,'FTE Allotment Factor'!$B$6:$H$63,7,FALSE)*Q7)+(D7*R7)</f>
        <v>23146002.614655867</v>
      </c>
      <c r="V7" s="221">
        <f>((((E7-1)*VLOOKUP(B7,'FTE Allotment Factor'!$B$6:$H$63,7,FALSE))+(K7*N7))*S7)+(T7*E7)</f>
        <v>3995728.1944078505</v>
      </c>
      <c r="W7" s="222">
        <f>SUM(U7:V7)</f>
        <v>27141730.809063718</v>
      </c>
      <c r="X7" s="80"/>
      <c r="Y7" s="222">
        <f>F7*(VLOOKUP(A7, 'OE&amp;E by Cluster'!$B$6:$C$9,2,FALSE))</f>
        <v>9631974.4250874296</v>
      </c>
      <c r="Z7" s="80"/>
      <c r="AA7" s="69">
        <f>'AB1058'!E5</f>
        <v>2140303.79</v>
      </c>
      <c r="AB7" s="88">
        <f>(O7+W7+Y7)-AA7</f>
        <v>89736951.376818791</v>
      </c>
      <c r="AC7" s="90">
        <f t="shared" ref="AC7:AC38" si="0">AB7/$AB$65</f>
        <v>3.3745825907623331E-2</v>
      </c>
      <c r="AD7" s="245">
        <f>AB7/F7</f>
        <v>177696.93341944314</v>
      </c>
    </row>
    <row r="8" spans="1:30" ht="20.149999999999999" customHeight="1" x14ac:dyDescent="0.35">
      <c r="A8" s="64">
        <v>1</v>
      </c>
      <c r="B8" s="65" t="s">
        <v>4</v>
      </c>
      <c r="D8" s="66">
        <f>RAS!M8</f>
        <v>2</v>
      </c>
      <c r="E8" s="66">
        <f>RAS!Q8</f>
        <v>1</v>
      </c>
      <c r="F8" s="67">
        <f t="shared" ref="F8:F38" si="1">SUM(D8:E8)</f>
        <v>3</v>
      </c>
      <c r="H8" s="70">
        <f>(F8-1)*'AVG RAS salary'!$F$66</f>
        <v>144982.32329199399</v>
      </c>
      <c r="I8" s="70">
        <f>(F8-1)*(VLOOKUP(B8,'FTE Allotment Factor'!$B$6:$D$63,3))</f>
        <v>105520.02045189094</v>
      </c>
      <c r="J8" s="70">
        <f>(F8-1)*(VLOOKUP(B8,'FTE Allotment Factor'!$B$6:$H$63,7))</f>
        <v>110739.86995683878</v>
      </c>
      <c r="K8" s="242">
        <f>VLOOKUP(A8,'CEO Salary'!$G$7:$H$13,2)</f>
        <v>139232.32088888885</v>
      </c>
      <c r="L8" s="242">
        <f>IF(N8&lt;&gt;0,N8*K8,K8)</f>
        <v>101335.09392155729</v>
      </c>
      <c r="N8" s="84">
        <f>VLOOKUP(B8,BLS!$B$5:$I$64,8, FALSE)</f>
        <v>0.7278130054473877</v>
      </c>
      <c r="O8" s="89">
        <f t="shared" ref="O8:O9" si="2">J8+L8</f>
        <v>212074.96387839608</v>
      </c>
      <c r="Q8" s="86">
        <f>VLOOKUP(B8,'Program 10'!$A$7:$G$64,6)</f>
        <v>0.52290000000000003</v>
      </c>
      <c r="R8" s="8">
        <f>VLOOKUP(B8,'Program 10'!$A$7:$G$64,7)</f>
        <v>22800.332727272729</v>
      </c>
      <c r="S8" s="86">
        <f>VLOOKUP(B8,'Program 90'!$A$7:$G$64,6)</f>
        <v>0.52289999999999992</v>
      </c>
      <c r="T8" s="8">
        <f>VLOOKUP(B8,'Program 90'!$A$7:$G$64,7)</f>
        <v>32128.26</v>
      </c>
      <c r="U8" s="71">
        <f>(D8*VLOOKUP(B8,'FTE Allotment Factor'!$B$7:$H$64,7,FALSE)*Q8)+(D8*R8)</f>
        <v>103506.54345497646</v>
      </c>
      <c r="V8" s="71">
        <f>((((E8-1)*VLOOKUP(B8,'FTE Allotment Factor'!$B$7:$H$64,7,FALSE))+(K8*N8))*S8)+(T8*E8)</f>
        <v>85116.380611582295</v>
      </c>
      <c r="W8" s="89">
        <f t="shared" ref="W8:W38" si="3">SUM(U8:V8)</f>
        <v>188622.92406655877</v>
      </c>
      <c r="Y8" s="89">
        <f>F8*(VLOOKUP(A8, 'OE&amp;E by Cluster'!$B$6:$C$9,2,FALSE))</f>
        <v>112356.42494401825</v>
      </c>
      <c r="AA8" s="242">
        <f>'AB1058'!E6</f>
        <v>0</v>
      </c>
      <c r="AB8" s="89">
        <f t="shared" ref="AB8:AB38" si="4">(O8+W8+Y8)-AA8</f>
        <v>513054.3128889731</v>
      </c>
      <c r="AC8" s="91">
        <f t="shared" si="0"/>
        <v>1.929354770612262E-4</v>
      </c>
      <c r="AD8" s="54">
        <f t="shared" ref="AD8:AD64" si="5">AB8/F8</f>
        <v>171018.10429632437</v>
      </c>
    </row>
    <row r="9" spans="1:30" ht="20.149999999999999" customHeight="1" x14ac:dyDescent="0.35">
      <c r="A9" s="64">
        <v>1</v>
      </c>
      <c r="B9" s="65" t="s">
        <v>5</v>
      </c>
      <c r="D9" s="66">
        <f>RAS!M9</f>
        <v>23</v>
      </c>
      <c r="E9" s="66">
        <f>RAS!Q9</f>
        <v>7</v>
      </c>
      <c r="F9" s="67">
        <f t="shared" si="1"/>
        <v>30</v>
      </c>
      <c r="H9" s="70">
        <f>(F9-1)*'AVG RAS salary'!$F$66</f>
        <v>2102243.6877339128</v>
      </c>
      <c r="I9" s="70">
        <f>(F9-1)*(VLOOKUP(B9,'FTE Allotment Factor'!$B$6:$D$63,3))</f>
        <v>2059652.0296536773</v>
      </c>
      <c r="J9" s="70">
        <f>(F9-1)*(VLOOKUP(B9,'FTE Allotment Factor'!$B$6:$H$63,7))</f>
        <v>2059652.0296536773</v>
      </c>
      <c r="K9" s="242">
        <f>VLOOKUP(A9,'CEO Salary'!$G$7:$H$13,2)</f>
        <v>139232.32088888885</v>
      </c>
      <c r="L9" s="242">
        <f t="shared" ref="L9:L51" si="6">IF(N9&lt;&gt;0,N9*K9,K9)</f>
        <v>136411.46075758338</v>
      </c>
      <c r="N9" s="84">
        <f>VLOOKUP(B9,BLS!$B$5:$I$64,8, FALSE)</f>
        <v>0.97973990440368652</v>
      </c>
      <c r="O9" s="89">
        <f t="shared" si="2"/>
        <v>2196063.4904112606</v>
      </c>
      <c r="Q9" s="86">
        <f>VLOOKUP(B9,'Program 10'!$A$7:$G$64,6)</f>
        <v>0.36890000000000012</v>
      </c>
      <c r="R9" s="8">
        <f>VLOOKUP(B9,'Program 10'!$A$7:$G$64,7)</f>
        <v>11316.205473684207</v>
      </c>
      <c r="S9" s="86">
        <f>VLOOKUP(B9,'Program 90'!$A$7:$G$64,6)</f>
        <v>0.36890000000000001</v>
      </c>
      <c r="T9" s="8">
        <f>VLOOKUP(B9,'Program 90'!$A$7:$G$64,7)</f>
        <v>12035.725194805196</v>
      </c>
      <c r="U9" s="71">
        <f>(D9*VLOOKUP(B9,'FTE Allotment Factor'!$B$7:$H$64,7,FALSE)*Q9)+(D9*R9)</f>
        <v>862877.19403275615</v>
      </c>
      <c r="V9" s="71">
        <f>((((E9-1)*VLOOKUP(B9,'FTE Allotment Factor'!$B$7:$H$64,7,FALSE))+(K9*N9))*S9)+(T9*E9)</f>
        <v>291773.4298383313</v>
      </c>
      <c r="W9" s="89">
        <f t="shared" si="3"/>
        <v>1154650.6238710876</v>
      </c>
      <c r="Y9" s="89">
        <f>F9*(VLOOKUP(A9, 'OE&amp;E by Cluster'!$B$6:$C$9,2,FALSE))</f>
        <v>1123564.2494401825</v>
      </c>
      <c r="AA9" s="242">
        <f>'AB1058'!E7</f>
        <v>156084.38</v>
      </c>
      <c r="AB9" s="89">
        <f t="shared" si="4"/>
        <v>4318193.9837225312</v>
      </c>
      <c r="AC9" s="90">
        <f t="shared" si="0"/>
        <v>1.6238686535955825E-3</v>
      </c>
      <c r="AD9" s="54">
        <f t="shared" si="5"/>
        <v>143939.79945741771</v>
      </c>
    </row>
    <row r="10" spans="1:30" ht="20.149999999999999" customHeight="1" x14ac:dyDescent="0.35">
      <c r="A10" s="64">
        <v>2</v>
      </c>
      <c r="B10" s="65" t="s">
        <v>19</v>
      </c>
      <c r="D10" s="66">
        <f>RAS!M10</f>
        <v>103</v>
      </c>
      <c r="E10" s="66">
        <f>RAS!Q10</f>
        <v>22</v>
      </c>
      <c r="F10" s="67">
        <f t="shared" si="1"/>
        <v>125</v>
      </c>
      <c r="H10" s="70">
        <f>(F10-1)*'AVG RAS salary'!$F$66</f>
        <v>8988904.044103628</v>
      </c>
      <c r="I10" s="70">
        <f>(F10-1)*(VLOOKUP(B10,'FTE Allotment Factor'!$B$6:$D$63,3))</f>
        <v>8108568.5733183539</v>
      </c>
      <c r="J10" s="70">
        <f>(F10-1)*(VLOOKUP(B10,'FTE Allotment Factor'!$B$6:$H$63,7))</f>
        <v>8108568.5733183539</v>
      </c>
      <c r="K10" s="242">
        <f>VLOOKUP(A10,'CEO Salary'!$G$7:$H$13,2)</f>
        <v>205599.94433590909</v>
      </c>
      <c r="L10" s="242">
        <f t="shared" si="6"/>
        <v>185464.35017422645</v>
      </c>
      <c r="N10" s="84">
        <f>VLOOKUP(B10,BLS!$B$5:$I$64,8, FALSE)</f>
        <v>0.90206420421600342</v>
      </c>
      <c r="O10" s="89">
        <f>J10+L10</f>
        <v>8294032.9234925807</v>
      </c>
      <c r="Q10" s="86">
        <f>VLOOKUP(B10,'Program 10'!$A$7:$G$64,6)</f>
        <v>0.32929865141176307</v>
      </c>
      <c r="R10" s="8">
        <f>VLOOKUP(B10,'Program 10'!$A$7:$G$64,7)</f>
        <v>14596.028236277567</v>
      </c>
      <c r="S10" s="86">
        <f>VLOOKUP(B10,'Program 90'!$A$7:$G$64,6)</f>
        <v>0.32006048877881077</v>
      </c>
      <c r="T10" s="8">
        <f>VLOOKUP(B10,'Program 90'!$A$7:$G$64,7)</f>
        <v>16463.09483309471</v>
      </c>
      <c r="U10" s="71">
        <f>(D10*VLOOKUP(B10,'FTE Allotment Factor'!$B$7:$H$64,7,FALSE)*Q10)+(D10*R10)</f>
        <v>3721330.3574944474</v>
      </c>
      <c r="V10" s="71">
        <f>((((E10-1)*VLOOKUP(B10,'FTE Allotment Factor'!$B$7:$H$64,7,FALSE))+(K10*N10))*S10)+(T10*E10)</f>
        <v>861063.06494692597</v>
      </c>
      <c r="W10" s="89">
        <f t="shared" si="3"/>
        <v>4582393.4224413736</v>
      </c>
      <c r="Y10" s="89">
        <f>F10*(VLOOKUP(A10, 'OE&amp;E by Cluster'!$B$6:$C$9,2,FALSE))</f>
        <v>2384152.0854176804</v>
      </c>
      <c r="AA10" s="242">
        <f>'AB1058'!E8</f>
        <v>240252.33</v>
      </c>
      <c r="AB10" s="89">
        <f t="shared" si="4"/>
        <v>15020326.101351636</v>
      </c>
      <c r="AC10" s="90">
        <f t="shared" si="0"/>
        <v>5.6484346962435419E-3</v>
      </c>
      <c r="AD10" s="54">
        <f t="shared" si="5"/>
        <v>120162.60881081308</v>
      </c>
    </row>
    <row r="11" spans="1:30" ht="20.149999999999999" customHeight="1" x14ac:dyDescent="0.35">
      <c r="A11" s="64">
        <v>1</v>
      </c>
      <c r="B11" s="65" t="s">
        <v>6</v>
      </c>
      <c r="C11" s="82"/>
      <c r="D11" s="66">
        <f>RAS!M11</f>
        <v>20</v>
      </c>
      <c r="E11" s="66">
        <f>RAS!Q11</f>
        <v>7</v>
      </c>
      <c r="F11" s="67">
        <f t="shared" si="1"/>
        <v>27</v>
      </c>
      <c r="G11" s="82"/>
      <c r="H11" s="70">
        <f>(F11-1)*'AVG RAS salary'!$F$66</f>
        <v>1884770.2027959218</v>
      </c>
      <c r="I11" s="70">
        <f>(F11-1)*(VLOOKUP(B11,'FTE Allotment Factor'!$B$6:$D$63,3))</f>
        <v>1569379.1970606563</v>
      </c>
      <c r="J11" s="70">
        <f>(F11-1)*(VLOOKUP(B11,'FTE Allotment Factor'!$B$6:$H$63,7))</f>
        <v>1569379.1970606563</v>
      </c>
      <c r="K11" s="242">
        <f>VLOOKUP(A11,'CEO Salary'!$G$7:$H$13,2)</f>
        <v>139232.32088888885</v>
      </c>
      <c r="L11" s="242">
        <f t="shared" si="6"/>
        <v>115933.66004903652</v>
      </c>
      <c r="M11" s="82"/>
      <c r="N11" s="84">
        <f>VLOOKUP(B11,BLS!$B$5:$I$64,8, FALSE)</f>
        <v>0.83266341686248779</v>
      </c>
      <c r="O11" s="89">
        <f>J11+L11</f>
        <v>1685312.8571096929</v>
      </c>
      <c r="P11" s="82"/>
      <c r="Q11" s="86">
        <f>VLOOKUP(B11,'Program 10'!$A$7:$G$64,6)</f>
        <v>0.25755243028381586</v>
      </c>
      <c r="R11" s="8">
        <f>VLOOKUP(B11,'Program 10'!$A$7:$G$64,7)</f>
        <v>17155.976726726731</v>
      </c>
      <c r="S11" s="86">
        <f>VLOOKUP(B11,'Program 90'!$A$7:$G$64,6)</f>
        <v>0.26667000000000002</v>
      </c>
      <c r="T11" s="8">
        <f>VLOOKUP(B11,'Program 90'!$A$7:$G$64,7)</f>
        <v>15926.57</v>
      </c>
      <c r="U11" s="71">
        <f>(D11*VLOOKUP(B11,'FTE Allotment Factor'!$B$7:$H$64,7,FALSE)*Q11)+(D11*R11)</f>
        <v>654040.6316421004</v>
      </c>
      <c r="V11" s="71">
        <f>((((E11-1)*VLOOKUP(B11,'FTE Allotment Factor'!$B$7:$H$64,7,FALSE))+(K11*N11))*S11)+(T11*E11)</f>
        <v>238980.4076976224</v>
      </c>
      <c r="W11" s="89">
        <f t="shared" si="3"/>
        <v>893021.03933972283</v>
      </c>
      <c r="X11" s="82"/>
      <c r="Y11" s="89">
        <f>F11*(VLOOKUP(A11, 'OE&amp;E by Cluster'!$B$6:$C$9,2,FALSE))</f>
        <v>1011207.8244961641</v>
      </c>
      <c r="Z11" s="82"/>
      <c r="AA11" s="242">
        <f>'AB1058'!E9</f>
        <v>155298.09</v>
      </c>
      <c r="AB11" s="89">
        <f t="shared" si="4"/>
        <v>3434243.6309455801</v>
      </c>
      <c r="AC11" s="90">
        <f t="shared" si="0"/>
        <v>1.291456706698321E-3</v>
      </c>
      <c r="AD11" s="54">
        <f t="shared" si="5"/>
        <v>127194.20855354</v>
      </c>
    </row>
    <row r="12" spans="1:30" ht="20.149999999999999" customHeight="1" x14ac:dyDescent="0.35">
      <c r="A12" s="64">
        <v>1</v>
      </c>
      <c r="B12" s="65" t="s">
        <v>7</v>
      </c>
      <c r="D12" s="66">
        <f>RAS!M12</f>
        <v>14</v>
      </c>
      <c r="E12" s="66">
        <f>RAS!Q12</f>
        <v>4</v>
      </c>
      <c r="F12" s="67">
        <f t="shared" si="1"/>
        <v>18</v>
      </c>
      <c r="H12" s="70">
        <f>(F12-1)*'AVG RAS salary'!$F$66</f>
        <v>1232349.747981949</v>
      </c>
      <c r="I12" s="70">
        <f>(F12-1)*(VLOOKUP(B12,'FTE Allotment Factor'!$B$6:$D$63,3))</f>
        <v>896101.67849346809</v>
      </c>
      <c r="J12" s="70">
        <f>(F12-1)*(VLOOKUP(B12,'FTE Allotment Factor'!$B$6:$H$63,7))</f>
        <v>941288.8946331297</v>
      </c>
      <c r="K12" s="242">
        <f>VLOOKUP(A12,'CEO Salary'!$G$7:$H$13,2)</f>
        <v>139232.32088888885</v>
      </c>
      <c r="L12" s="242">
        <f t="shared" si="6"/>
        <v>101242.61935654812</v>
      </c>
      <c r="N12" s="84">
        <f>VLOOKUP(B12,BLS!$B$5:$I$64,8, FALSE)</f>
        <v>0.72714883089065552</v>
      </c>
      <c r="O12" s="89">
        <f t="shared" ref="O12:O63" si="7">J12+L12</f>
        <v>1042531.5139896779</v>
      </c>
      <c r="Q12" s="86">
        <f>VLOOKUP(B12,'Program 10'!$A$7:$G$64,6)</f>
        <v>0.57930000000000048</v>
      </c>
      <c r="R12" s="8">
        <f>VLOOKUP(B12,'Program 10'!$A$7:$G$64,7)</f>
        <v>22648.225137614707</v>
      </c>
      <c r="S12" s="86">
        <f>VLOOKUP(B12,'Program 90'!$A$7:$G$64,6)</f>
        <v>0.57930000000000004</v>
      </c>
      <c r="T12" s="8">
        <f>VLOOKUP(B12,'Program 90'!$A$7:$G$64,7)</f>
        <v>16029.774814814817</v>
      </c>
      <c r="U12" s="71">
        <f>(D12*VLOOKUP(B12,'FTE Allotment Factor'!$B$7:$H$64,7,FALSE)*Q12)+(D12*R12)</f>
        <v>766136.39858858322</v>
      </c>
      <c r="V12" s="71">
        <f>((((E12-1)*VLOOKUP(B12,'FTE Allotment Factor'!$B$7:$H$64,7,FALSE))+(K12*N12))*S12)+(T12*E12)</f>
        <v>218996.35865150267</v>
      </c>
      <c r="W12" s="89">
        <f t="shared" si="3"/>
        <v>985132.75724008586</v>
      </c>
      <c r="Y12" s="89">
        <f>F12*(VLOOKUP(A12, 'OE&amp;E by Cluster'!$B$6:$C$9,2,FALSE))</f>
        <v>674138.54966410948</v>
      </c>
      <c r="AA12" s="242">
        <f>'AB1058'!E10</f>
        <v>66236.06</v>
      </c>
      <c r="AB12" s="89">
        <f t="shared" si="4"/>
        <v>2635566.7608938734</v>
      </c>
      <c r="AC12" s="90">
        <f t="shared" si="0"/>
        <v>9.9111208611905822E-4</v>
      </c>
      <c r="AD12" s="54">
        <f t="shared" si="5"/>
        <v>146420.3756052152</v>
      </c>
    </row>
    <row r="13" spans="1:30" ht="20.149999999999999" customHeight="1" x14ac:dyDescent="0.35">
      <c r="A13" s="64">
        <v>3</v>
      </c>
      <c r="B13" s="65" t="s">
        <v>41</v>
      </c>
      <c r="D13" s="66">
        <f>RAS!M13</f>
        <v>293</v>
      </c>
      <c r="E13" s="66">
        <f>RAS!Q13</f>
        <v>44</v>
      </c>
      <c r="F13" s="67">
        <f t="shared" si="1"/>
        <v>337</v>
      </c>
      <c r="H13" s="70">
        <f>(F13-1)*'AVG RAS salary'!$F$66</f>
        <v>24357030.31305499</v>
      </c>
      <c r="I13" s="70">
        <f>(F13-1)*(VLOOKUP(B13,'FTE Allotment Factor'!$B$6:$D$63,3))</f>
        <v>32545991.634137955</v>
      </c>
      <c r="J13" s="70">
        <f>(F13-1)*(VLOOKUP(B13,'FTE Allotment Factor'!$B$6:$H$63,7))</f>
        <v>32545991.634137955</v>
      </c>
      <c r="K13" s="242">
        <f>VLOOKUP(A13,'CEO Salary'!$G$7:$H$13,2)</f>
        <v>199204.4966372918</v>
      </c>
      <c r="L13" s="242">
        <f t="shared" si="6"/>
        <v>266178.09304794471</v>
      </c>
      <c r="N13" s="84">
        <f>VLOOKUP(B13,BLS!$B$5:$I$64,8, FALSE)</f>
        <v>1.3362052440643311</v>
      </c>
      <c r="O13" s="89">
        <f t="shared" si="7"/>
        <v>32812169.727185898</v>
      </c>
      <c r="Q13" s="86">
        <f>VLOOKUP(B13,'Program 10'!$A$7:$G$64,6)</f>
        <v>0.34035282435506331</v>
      </c>
      <c r="R13" s="8">
        <f>VLOOKUP(B13,'Program 10'!$A$7:$G$64,7)</f>
        <v>27763.205614715313</v>
      </c>
      <c r="S13" s="86">
        <f>VLOOKUP(B13,'Program 90'!$A$7:$G$64,6)</f>
        <v>0.337186549076744</v>
      </c>
      <c r="T13" s="8">
        <f>VLOOKUP(B13,'Program 90'!$A$7:$G$64,7)</f>
        <v>27993.657709630683</v>
      </c>
      <c r="U13" s="71">
        <f>(D13*VLOOKUP(B13,'FTE Allotment Factor'!$B$7:$H$64,7,FALSE)*Q13)+(D13*R13)</f>
        <v>17794131.777896494</v>
      </c>
      <c r="V13" s="71">
        <f>((((E13-1)*VLOOKUP(B13,'FTE Allotment Factor'!$B$7:$H$64,7,FALSE))+(K13*N13))*S13)+(T13*E13)</f>
        <v>2725892.3619536795</v>
      </c>
      <c r="W13" s="89">
        <f t="shared" si="3"/>
        <v>20520024.139850173</v>
      </c>
      <c r="Y13" s="89">
        <f>F13*(VLOOKUP(A13, 'OE&amp;E by Cluster'!$B$6:$C$9,2,FALSE))</f>
        <v>6427674.0222860668</v>
      </c>
      <c r="AA13" s="242">
        <f>'AB1058'!E11</f>
        <v>967688.18</v>
      </c>
      <c r="AB13" s="89">
        <f t="shared" si="4"/>
        <v>58792179.70932214</v>
      </c>
      <c r="AC13" s="90">
        <f t="shared" si="0"/>
        <v>2.2108959918522506E-2</v>
      </c>
      <c r="AD13" s="54">
        <f t="shared" si="5"/>
        <v>174457.50655585204</v>
      </c>
    </row>
    <row r="14" spans="1:30" ht="20.149999999999999" customHeight="1" x14ac:dyDescent="0.35">
      <c r="A14" s="64">
        <v>1</v>
      </c>
      <c r="B14" s="65" t="s">
        <v>8</v>
      </c>
      <c r="D14" s="66">
        <f>RAS!M14</f>
        <v>21</v>
      </c>
      <c r="E14" s="66">
        <f>RAS!Q14</f>
        <v>7</v>
      </c>
      <c r="F14" s="67">
        <f t="shared" si="1"/>
        <v>28</v>
      </c>
      <c r="H14" s="70">
        <f>(F14-1)*'AVG RAS salary'!$F$66</f>
        <v>1957261.3644419189</v>
      </c>
      <c r="I14" s="70">
        <f>(F14-1)*(VLOOKUP(B14,'FTE Allotment Factor'!$B$6:$D$63,3))</f>
        <v>1494988.2444173235</v>
      </c>
      <c r="J14" s="70">
        <f>(F14-1)*(VLOOKUP(B14,'FTE Allotment Factor'!$B$6:$H$63,7))</f>
        <v>1494988.2444173235</v>
      </c>
      <c r="K14" s="242">
        <f>VLOOKUP(A14,'CEO Salary'!$G$7:$H$13,2)</f>
        <v>139232.32088888885</v>
      </c>
      <c r="L14" s="242">
        <f t="shared" si="6"/>
        <v>106347.92407051889</v>
      </c>
      <c r="N14" s="84">
        <f>VLOOKUP(B14,BLS!$B$5:$I$64,8, FALSE)</f>
        <v>0.76381635665893555</v>
      </c>
      <c r="O14" s="89">
        <f t="shared" si="7"/>
        <v>1601336.1684878424</v>
      </c>
      <c r="Q14" s="86">
        <f>VLOOKUP(B14,'Program 10'!$A$7:$G$64,6)</f>
        <v>0.32719999999999994</v>
      </c>
      <c r="R14" s="8">
        <f>VLOOKUP(B14,'Program 10'!$A$7:$G$64,7)</f>
        <v>27402.784444444438</v>
      </c>
      <c r="S14" s="86">
        <f>VLOOKUP(B14,'Program 90'!$A$7:$G$64,6)</f>
        <v>0.32719999999999949</v>
      </c>
      <c r="T14" s="8">
        <f>VLOOKUP(B14,'Program 90'!$A$7:$G$64,7)</f>
        <v>27446.333333333332</v>
      </c>
      <c r="U14" s="71">
        <f>(D14*VLOOKUP(B14,'FTE Allotment Factor'!$B$7:$H$64,7,FALSE)*Q14)+(D14*R14)</f>
        <v>955916.37055704836</v>
      </c>
      <c r="V14" s="71">
        <f>((((E14-1)*VLOOKUP(B14,'FTE Allotment Factor'!$B$7:$H$64,7,FALSE))+(K14*N14))*S14)+(T14*E14)</f>
        <v>335623.63043883978</v>
      </c>
      <c r="W14" s="89">
        <f t="shared" si="3"/>
        <v>1291540.0009958881</v>
      </c>
      <c r="Y14" s="89">
        <f>F14*(VLOOKUP(A14, 'OE&amp;E by Cluster'!$B$6:$C$9,2,FALSE))</f>
        <v>1048659.9661441701</v>
      </c>
      <c r="AA14" s="242">
        <f>'AB1058'!E12</f>
        <v>119415.43</v>
      </c>
      <c r="AB14" s="89">
        <f t="shared" si="4"/>
        <v>3822120.7056279005</v>
      </c>
      <c r="AC14" s="90">
        <f t="shared" si="0"/>
        <v>1.4373189410952104E-3</v>
      </c>
      <c r="AD14" s="54">
        <f t="shared" si="5"/>
        <v>136504.31091528217</v>
      </c>
    </row>
    <row r="15" spans="1:30" ht="20.149999999999999" customHeight="1" x14ac:dyDescent="0.35">
      <c r="A15" s="64">
        <v>2</v>
      </c>
      <c r="B15" s="65" t="s">
        <v>20</v>
      </c>
      <c r="D15" s="66">
        <f>RAS!M15</f>
        <v>62</v>
      </c>
      <c r="E15" s="66">
        <f>RAS!Q15</f>
        <v>12</v>
      </c>
      <c r="F15" s="67">
        <f t="shared" si="1"/>
        <v>74</v>
      </c>
      <c r="H15" s="70">
        <f>(F15-1)*'AVG RAS salary'!$F$66</f>
        <v>5291854.8001577808</v>
      </c>
      <c r="I15" s="70">
        <f>(F15-1)*(VLOOKUP(B15,'FTE Allotment Factor'!$B$6:$D$63,3))</f>
        <v>5757938.286918656</v>
      </c>
      <c r="J15" s="70">
        <f>(F15-1)*(VLOOKUP(B15,'FTE Allotment Factor'!$B$6:$H$63,7))</f>
        <v>5757938.286918656</v>
      </c>
      <c r="K15" s="242">
        <f>VLOOKUP(A15,'CEO Salary'!$G$7:$H$13,2)</f>
        <v>205599.94433590909</v>
      </c>
      <c r="L15" s="242">
        <f t="shared" si="6"/>
        <v>223708.29056851269</v>
      </c>
      <c r="N15" s="84">
        <f>VLOOKUP(B15,BLS!$B$5:$I$64,8, FALSE)</f>
        <v>1.0880756378173828</v>
      </c>
      <c r="O15" s="89">
        <f t="shared" si="7"/>
        <v>5981646.5774871688</v>
      </c>
      <c r="Q15" s="86">
        <f>VLOOKUP(B15,'Program 10'!$A$7:$G$64,6)</f>
        <v>0.29830274970352932</v>
      </c>
      <c r="R15" s="8">
        <f>VLOOKUP(B15,'Program 10'!$A$7:$G$64,7)</f>
        <v>22804.634242423981</v>
      </c>
      <c r="S15" s="86">
        <f>VLOOKUP(B15,'Program 90'!$A$7:$G$64,6)</f>
        <v>0.29319214527869231</v>
      </c>
      <c r="T15" s="8">
        <f>VLOOKUP(B15,'Program 90'!$A$7:$G$64,7)</f>
        <v>18779.281690632321</v>
      </c>
      <c r="U15" s="71">
        <f>(D15*VLOOKUP(B15,'FTE Allotment Factor'!$B$7:$H$64,7,FALSE)*Q15)+(D15*R15)</f>
        <v>2872678.3786999579</v>
      </c>
      <c r="V15" s="71">
        <f>((((E15-1)*VLOOKUP(B15,'FTE Allotment Factor'!$B$7:$H$64,7,FALSE))+(K15*N15))*S15)+(T15*E15)</f>
        <v>545324.52495660179</v>
      </c>
      <c r="W15" s="89">
        <f t="shared" si="3"/>
        <v>3418002.9036565595</v>
      </c>
      <c r="Y15" s="89">
        <f>F15*(VLOOKUP(A15, 'OE&amp;E by Cluster'!$B$6:$C$9,2,FALSE))</f>
        <v>1411418.0345672669</v>
      </c>
      <c r="AA15" s="242">
        <f>'AB1058'!E13</f>
        <v>274478.11</v>
      </c>
      <c r="AB15" s="89">
        <f t="shared" si="4"/>
        <v>10536589.405710995</v>
      </c>
      <c r="AC15" s="90">
        <f t="shared" si="0"/>
        <v>3.9623132532345283E-3</v>
      </c>
      <c r="AD15" s="54">
        <f t="shared" si="5"/>
        <v>142386.34332041885</v>
      </c>
    </row>
    <row r="16" spans="1:30" ht="20.149999999999999" customHeight="1" x14ac:dyDescent="0.35">
      <c r="A16" s="64">
        <v>3</v>
      </c>
      <c r="B16" s="65" t="s">
        <v>42</v>
      </c>
      <c r="D16" s="66">
        <f>RAS!M16</f>
        <v>418</v>
      </c>
      <c r="E16" s="66">
        <f>RAS!Q16</f>
        <v>62</v>
      </c>
      <c r="F16" s="67">
        <f t="shared" si="1"/>
        <v>480</v>
      </c>
      <c r="H16" s="70">
        <f>(F16-1)*'AVG RAS salary'!$F$66</f>
        <v>34723266.428432561</v>
      </c>
      <c r="I16" s="70">
        <f>(F16-1)*(VLOOKUP(B16,'FTE Allotment Factor'!$B$6:$D$63,3))</f>
        <v>32137075.573856708</v>
      </c>
      <c r="J16" s="70">
        <f>(F16-1)*(VLOOKUP(B16,'FTE Allotment Factor'!$B$6:$H$63,7))</f>
        <v>32137075.573856708</v>
      </c>
      <c r="K16" s="242">
        <f>VLOOKUP(A16,'CEO Salary'!$G$7:$H$13,2)</f>
        <v>199204.4966372918</v>
      </c>
      <c r="L16" s="242">
        <f t="shared" si="6"/>
        <v>184367.73442036216</v>
      </c>
      <c r="N16" s="84">
        <f>VLOOKUP(B16,BLS!$B$5:$I$64,8, FALSE)</f>
        <v>0.92551994323730469</v>
      </c>
      <c r="O16" s="89">
        <f t="shared" si="7"/>
        <v>32321443.308277071</v>
      </c>
      <c r="Q16" s="86">
        <f>VLOOKUP(B16,'Program 10'!$A$7:$G$64,6)</f>
        <v>0.62254706794837922</v>
      </c>
      <c r="R16" s="8">
        <f>VLOOKUP(B16,'Program 10'!$A$7:$G$64,7)</f>
        <v>15262.707208413136</v>
      </c>
      <c r="S16" s="86">
        <f>VLOOKUP(B16,'Program 90'!$A$7:$G$64,6)</f>
        <v>0.60166987726119847</v>
      </c>
      <c r="T16" s="8">
        <f>VLOOKUP(B16,'Program 90'!$A$7:$G$64,7)</f>
        <v>14262.804088397792</v>
      </c>
      <c r="U16" s="71">
        <f>(D16*VLOOKUP(B16,'FTE Allotment Factor'!$B$7:$H$64,7,FALSE)*Q16)+(D16*R16)</f>
        <v>23838809.582746975</v>
      </c>
      <c r="V16" s="71">
        <f>((((E16-1)*VLOOKUP(B16,'FTE Allotment Factor'!$B$7:$H$64,7,FALSE))+(K16*N16))*S16)+(T16*E16)</f>
        <v>3457624.3056608508</v>
      </c>
      <c r="W16" s="89">
        <f t="shared" si="3"/>
        <v>27296433.888407826</v>
      </c>
      <c r="Y16" s="89">
        <f>F16*(VLOOKUP(A16, 'OE&amp;E by Cluster'!$B$6:$C$9,2,FALSE))</f>
        <v>9155144.0080038942</v>
      </c>
      <c r="AA16" s="242">
        <f>'AB1058'!E14</f>
        <v>2582457.54</v>
      </c>
      <c r="AB16" s="89">
        <f t="shared" si="4"/>
        <v>66190563.664688788</v>
      </c>
      <c r="AC16" s="90">
        <f t="shared" si="0"/>
        <v>2.4891142432247292E-2</v>
      </c>
      <c r="AD16" s="54">
        <f t="shared" si="5"/>
        <v>137897.00763476832</v>
      </c>
    </row>
    <row r="17" spans="1:30" ht="20.149999999999999" customHeight="1" x14ac:dyDescent="0.35">
      <c r="A17" s="64">
        <v>1</v>
      </c>
      <c r="B17" s="65" t="s">
        <v>9</v>
      </c>
      <c r="C17" s="82"/>
      <c r="D17" s="66">
        <f>RAS!M17</f>
        <v>17</v>
      </c>
      <c r="E17" s="66">
        <f>RAS!Q17</f>
        <v>6</v>
      </c>
      <c r="F17" s="67">
        <f t="shared" si="1"/>
        <v>23</v>
      </c>
      <c r="G17" s="82"/>
      <c r="H17" s="70">
        <f>(F17-1)*'AVG RAS salary'!$F$66</f>
        <v>1594805.556211934</v>
      </c>
      <c r="I17" s="70">
        <f>(F17-1)*(VLOOKUP(B17,'FTE Allotment Factor'!$B$6:$D$63,3))</f>
        <v>1173365.8616454685</v>
      </c>
      <c r="J17" s="70">
        <f>(F17-1)*(VLOOKUP(B17,'FTE Allotment Factor'!$B$6:$H$63,7))</f>
        <v>1218138.5695252265</v>
      </c>
      <c r="K17" s="242">
        <f>VLOOKUP(A17,'CEO Salary'!$G$7:$H$13,2)</f>
        <v>139232.32088888885</v>
      </c>
      <c r="L17" s="242">
        <f t="shared" si="6"/>
        <v>102439.10395994327</v>
      </c>
      <c r="M17" s="82"/>
      <c r="N17" s="84">
        <f>VLOOKUP(B17,BLS!$B$5:$I$64,8, FALSE)</f>
        <v>0.73574227094650269</v>
      </c>
      <c r="O17" s="89">
        <f t="shared" si="7"/>
        <v>1320577.6734851697</v>
      </c>
      <c r="P17" s="82"/>
      <c r="Q17" s="86">
        <f>VLOOKUP(B17,'Program 10'!$A$7:$G$64,6)</f>
        <v>0.16963006879719231</v>
      </c>
      <c r="R17" s="8">
        <f>VLOOKUP(B17,'Program 10'!$A$7:$G$64,7)</f>
        <v>40371.525781249984</v>
      </c>
      <c r="S17" s="86">
        <f>VLOOKUP(B17,'Program 90'!$A$7:$G$64,6)</f>
        <v>0.18208744637593613</v>
      </c>
      <c r="T17" s="8">
        <f>VLOOKUP(B17,'Program 90'!$A$7:$G$64,7)</f>
        <v>41289.054400000008</v>
      </c>
      <c r="U17" s="71">
        <f>(D17*VLOOKUP(B17,'FTE Allotment Factor'!$B$7:$H$64,7,FALSE)*Q17)+(D17*R17)</f>
        <v>845986.83823590062</v>
      </c>
      <c r="V17" s="71">
        <f>((((E17-1)*VLOOKUP(B17,'FTE Allotment Factor'!$B$7:$H$64,7,FALSE))+(K17*N17))*S17)+(T17*E17)</f>
        <v>316798.05158021522</v>
      </c>
      <c r="W17" s="89">
        <f t="shared" si="3"/>
        <v>1162784.8898161158</v>
      </c>
      <c r="X17" s="82"/>
      <c r="Y17" s="89">
        <f>F17*(VLOOKUP(A17, 'OE&amp;E by Cluster'!$B$6:$C$9,2,FALSE))</f>
        <v>861399.25790413981</v>
      </c>
      <c r="Z17" s="82"/>
      <c r="AA17" s="242">
        <f>'AB1058'!E15</f>
        <v>122527.91</v>
      </c>
      <c r="AB17" s="89">
        <f t="shared" si="4"/>
        <v>3222233.9112054254</v>
      </c>
      <c r="AC17" s="90">
        <f t="shared" si="0"/>
        <v>1.2117298719518106E-3</v>
      </c>
      <c r="AD17" s="54">
        <f t="shared" si="5"/>
        <v>140097.12657414892</v>
      </c>
    </row>
    <row r="18" spans="1:30" ht="20.149999999999999" customHeight="1" x14ac:dyDescent="0.35">
      <c r="A18" s="64">
        <v>2</v>
      </c>
      <c r="B18" s="65" t="s">
        <v>21</v>
      </c>
      <c r="D18" s="66">
        <f>RAS!M18</f>
        <v>71</v>
      </c>
      <c r="E18" s="66">
        <f>RAS!Q18</f>
        <v>14</v>
      </c>
      <c r="F18" s="67">
        <f t="shared" si="1"/>
        <v>85</v>
      </c>
      <c r="H18" s="70">
        <f>(F18-1)*'AVG RAS salary'!$F$66</f>
        <v>6089257.5782637475</v>
      </c>
      <c r="I18" s="70">
        <f>(F18-1)*(VLOOKUP(B18,'FTE Allotment Factor'!$B$6:$D$63,3))</f>
        <v>4479370.7188895224</v>
      </c>
      <c r="J18" s="70">
        <f>(F18-1)*(VLOOKUP(B18,'FTE Allotment Factor'!$B$6:$H$63,7))</f>
        <v>4479370.7188895224</v>
      </c>
      <c r="K18" s="242">
        <f>VLOOKUP(A18,'CEO Salary'!$G$7:$H$13,2)</f>
        <v>205599.94433590909</v>
      </c>
      <c r="L18" s="242">
        <f t="shared" si="6"/>
        <v>151243.12917079509</v>
      </c>
      <c r="N18" s="84">
        <f>VLOOKUP(B18,BLS!$B$5:$I$64,8, FALSE)</f>
        <v>0.73561853170394897</v>
      </c>
      <c r="O18" s="89">
        <f t="shared" si="7"/>
        <v>4630613.8480603173</v>
      </c>
      <c r="Q18" s="86">
        <f>VLOOKUP(B18,'Program 10'!$A$7:$G$64,6)</f>
        <v>0.36276159141732023</v>
      </c>
      <c r="R18" s="8">
        <f>VLOOKUP(B18,'Program 10'!$A$7:$G$64,7)</f>
        <v>15753.729459459444</v>
      </c>
      <c r="S18" s="86">
        <f>VLOOKUP(B18,'Program 90'!$A$7:$G$64,6)</f>
        <v>0.366828365575461</v>
      </c>
      <c r="T18" s="8">
        <f>VLOOKUP(B18,'Program 90'!$A$7:$G$64,7)</f>
        <v>12780.704166666668</v>
      </c>
      <c r="U18" s="71">
        <f>(D18*VLOOKUP(B18,'FTE Allotment Factor'!$B$7:$H$64,7,FALSE)*Q18)+(D18*R18)</f>
        <v>2491979.0676669553</v>
      </c>
      <c r="V18" s="71">
        <f>((((E18-1)*VLOOKUP(B18,'FTE Allotment Factor'!$B$7:$H$64,7,FALSE))+(K18*N18))*S18)+(T18*E18)</f>
        <v>488708.73672370159</v>
      </c>
      <c r="W18" s="89">
        <f t="shared" si="3"/>
        <v>2980687.8043906568</v>
      </c>
      <c r="Y18" s="89">
        <f>F18*(VLOOKUP(A18, 'OE&amp;E by Cluster'!$B$6:$C$9,2,FALSE))</f>
        <v>1621223.4180840228</v>
      </c>
      <c r="AA18" s="242">
        <f>'AB1058'!E16</f>
        <v>238541.96999999997</v>
      </c>
      <c r="AB18" s="89">
        <f t="shared" si="4"/>
        <v>8993983.100534996</v>
      </c>
      <c r="AC18" s="90">
        <f t="shared" si="0"/>
        <v>3.3822119346608873E-3</v>
      </c>
      <c r="AD18" s="54">
        <f t="shared" si="5"/>
        <v>105811.56588864702</v>
      </c>
    </row>
    <row r="19" spans="1:30" ht="20.149999999999999" customHeight="1" x14ac:dyDescent="0.35">
      <c r="A19" s="64">
        <v>2</v>
      </c>
      <c r="B19" s="65" t="s">
        <v>22</v>
      </c>
      <c r="D19" s="66">
        <f>RAS!M19</f>
        <v>78</v>
      </c>
      <c r="E19" s="66">
        <f>RAS!Q19</f>
        <v>17</v>
      </c>
      <c r="F19" s="67">
        <f t="shared" si="1"/>
        <v>95</v>
      </c>
      <c r="H19" s="70">
        <f>(F19-1)*'AVG RAS salary'!$F$66</f>
        <v>6814169.1947237179</v>
      </c>
      <c r="I19" s="70">
        <f>(F19-1)*(VLOOKUP(B19,'FTE Allotment Factor'!$B$6:$D$63,3))</f>
        <v>4744775.2595820958</v>
      </c>
      <c r="J19" s="70">
        <f>(F19-1)*(VLOOKUP(B19,'FTE Allotment Factor'!$B$6:$H$63,7))</f>
        <v>4744775.2595820958</v>
      </c>
      <c r="K19" s="242">
        <f>VLOOKUP(A19,'CEO Salary'!$G$7:$H$13,2)</f>
        <v>205599.94433590909</v>
      </c>
      <c r="L19" s="242">
        <f t="shared" si="6"/>
        <v>143161.3306596257</v>
      </c>
      <c r="N19" s="84">
        <f>VLOOKUP(B19,BLS!$B$5:$I$64,8, FALSE)</f>
        <v>0.69631016254425049</v>
      </c>
      <c r="O19" s="89">
        <f t="shared" si="7"/>
        <v>4887936.5902417218</v>
      </c>
      <c r="Q19" s="86">
        <f>VLOOKUP(B19,'Program 10'!$A$7:$G$64,6)</f>
        <v>0.26828005505077884</v>
      </c>
      <c r="R19" s="8">
        <f>VLOOKUP(B19,'Program 10'!$A$7:$G$64,7)</f>
        <v>6597.775386346947</v>
      </c>
      <c r="S19" s="86">
        <f>VLOOKUP(B19,'Program 90'!$A$7:$G$64,6)</f>
        <v>0.26959625135748672</v>
      </c>
      <c r="T19" s="8">
        <f>VLOOKUP(B19,'Program 90'!$A$7:$G$64,7)</f>
        <v>8343.3048343505125</v>
      </c>
      <c r="U19" s="71">
        <f>(D19*VLOOKUP(B19,'FTE Allotment Factor'!$B$7:$H$64,7,FALSE)*Q19)+(D19*R19)</f>
        <v>1570886.3555802973</v>
      </c>
      <c r="V19" s="71">
        <f>((((E19-1)*VLOOKUP(B19,'FTE Allotment Factor'!$B$7:$H$64,7,FALSE))+(K19*N19))*S19)+(T19*E19)</f>
        <v>398163.62086779519</v>
      </c>
      <c r="W19" s="89">
        <f t="shared" si="3"/>
        <v>1969049.9764480926</v>
      </c>
      <c r="Y19" s="89">
        <f>F19*(VLOOKUP(A19, 'OE&amp;E by Cluster'!$B$6:$C$9,2,FALSE))</f>
        <v>1811955.5849174373</v>
      </c>
      <c r="AA19" s="242">
        <f>'AB1058'!E17</f>
        <v>304962.42</v>
      </c>
      <c r="AB19" s="89">
        <f t="shared" si="4"/>
        <v>8363979.7316072527</v>
      </c>
      <c r="AC19" s="90">
        <f t="shared" si="0"/>
        <v>3.145297445335548E-3</v>
      </c>
      <c r="AD19" s="54">
        <f t="shared" si="5"/>
        <v>88041.891911655286</v>
      </c>
    </row>
    <row r="20" spans="1:30" ht="20.149999999999999" customHeight="1" x14ac:dyDescent="0.35">
      <c r="A20" s="64">
        <v>1</v>
      </c>
      <c r="B20" s="65" t="s">
        <v>10</v>
      </c>
      <c r="D20" s="66">
        <f>RAS!M20</f>
        <v>15</v>
      </c>
      <c r="E20" s="66">
        <f>RAS!Q20</f>
        <v>6</v>
      </c>
      <c r="F20" s="67">
        <f t="shared" si="1"/>
        <v>21</v>
      </c>
      <c r="H20" s="70">
        <f>(F20-1)*'AVG RAS salary'!$F$66</f>
        <v>1449823.2329199398</v>
      </c>
      <c r="I20" s="70">
        <f>(F20-1)*(VLOOKUP(B20,'FTE Allotment Factor'!$B$6:$D$63,3))</f>
        <v>1110830.0275735557</v>
      </c>
      <c r="J20" s="70">
        <f>(F20-1)*(VLOOKUP(B20,'FTE Allotment Factor'!$B$6:$H$63,7))</f>
        <v>1110830.0275735557</v>
      </c>
      <c r="K20" s="242">
        <f>VLOOKUP(A20,'CEO Salary'!$G$7:$H$13,2)</f>
        <v>139232.32088888885</v>
      </c>
      <c r="L20" s="242">
        <f t="shared" si="6"/>
        <v>106677.44821597515</v>
      </c>
      <c r="N20" s="84">
        <f>VLOOKUP(B20,BLS!$B$5:$I$64,8, FALSE)</f>
        <v>0.76618307828903198</v>
      </c>
      <c r="O20" s="89">
        <f t="shared" si="7"/>
        <v>1217507.4757895309</v>
      </c>
      <c r="Q20" s="86">
        <f>VLOOKUP(B20,'Program 10'!$A$7:$G$64,6)</f>
        <v>0.17950000000000002</v>
      </c>
      <c r="R20" s="8">
        <f>VLOOKUP(B20,'Program 10'!$A$7:$G$64,7)</f>
        <v>16847.240167681495</v>
      </c>
      <c r="S20" s="86">
        <f>VLOOKUP(B20,'Program 90'!$A$7:$G$64,6)</f>
        <v>0.16795740550769037</v>
      </c>
      <c r="T20" s="8">
        <f>VLOOKUP(B20,'Program 90'!$A$7:$G$64,7)</f>
        <v>16678.95265887889</v>
      </c>
      <c r="U20" s="71">
        <f>(D20*VLOOKUP(B20,'FTE Allotment Factor'!$B$7:$H$64,7,FALSE)*Q20)+(D20*R20)</f>
        <v>402254.09497731237</v>
      </c>
      <c r="V20" s="71">
        <f>((((E20-1)*VLOOKUP(B20,'FTE Allotment Factor'!$B$7:$H$64,7,FALSE))+(K20*N20))*S20)+(T20*E20)</f>
        <v>164634.01572963217</v>
      </c>
      <c r="W20" s="89">
        <f t="shared" si="3"/>
        <v>566888.11070694448</v>
      </c>
      <c r="Y20" s="89">
        <f>F20*(VLOOKUP(A20, 'OE&amp;E by Cluster'!$B$6:$C$9,2,FALSE))</f>
        <v>786494.97460812773</v>
      </c>
      <c r="AA20" s="242">
        <f>'AB1058'!E18</f>
        <v>70947.39</v>
      </c>
      <c r="AB20" s="89">
        <f t="shared" si="4"/>
        <v>2499943.171104603</v>
      </c>
      <c r="AC20" s="90">
        <f t="shared" si="0"/>
        <v>9.4011046438157277E-4</v>
      </c>
      <c r="AD20" s="54">
        <f t="shared" si="5"/>
        <v>119044.912909743</v>
      </c>
    </row>
    <row r="21" spans="1:30" ht="20.149999999999999" customHeight="1" x14ac:dyDescent="0.35">
      <c r="A21" s="64">
        <v>3</v>
      </c>
      <c r="B21" s="65" t="s">
        <v>43</v>
      </c>
      <c r="D21" s="66">
        <f>RAS!M21</f>
        <v>426</v>
      </c>
      <c r="E21" s="66">
        <f>RAS!Q21</f>
        <v>68</v>
      </c>
      <c r="F21" s="67">
        <f t="shared" si="1"/>
        <v>494</v>
      </c>
      <c r="H21" s="70">
        <f>(F21-1)*'AVG RAS salary'!$F$66</f>
        <v>35738142.691476516</v>
      </c>
      <c r="I21" s="70">
        <f>(F21-1)*(VLOOKUP(B21,'FTE Allotment Factor'!$B$6:$D$63,3))</f>
        <v>32696379.588799857</v>
      </c>
      <c r="J21" s="70">
        <f>(F21-1)*(VLOOKUP(B21,'FTE Allotment Factor'!$B$6:$H$63,7))</f>
        <v>32696379.588799857</v>
      </c>
      <c r="K21" s="242">
        <f>VLOOKUP(A21,'CEO Salary'!$G$7:$H$13,2)</f>
        <v>199204.4966372918</v>
      </c>
      <c r="L21" s="242">
        <f t="shared" si="6"/>
        <v>182249.70150455242</v>
      </c>
      <c r="N21" s="84">
        <f>VLOOKUP(B21,BLS!$B$5:$I$64,8, FALSE)</f>
        <v>0.91488748788833618</v>
      </c>
      <c r="O21" s="89">
        <f t="shared" si="7"/>
        <v>32878629.290304407</v>
      </c>
      <c r="Q21" s="86">
        <f>VLOOKUP(B21,'Program 10'!$A$7:$G$64,6)</f>
        <v>0.48981688656251438</v>
      </c>
      <c r="R21" s="8">
        <f>VLOOKUP(B21,'Program 10'!$A$7:$G$64,7)</f>
        <v>17780.173965481725</v>
      </c>
      <c r="S21" s="86">
        <f>VLOOKUP(B21,'Program 90'!$A$7:$G$64,6)</f>
        <v>0.50457306407192548</v>
      </c>
      <c r="T21" s="8">
        <f>VLOOKUP(B21,'Program 90'!$A$7:$G$64,7)</f>
        <v>18539.980209569876</v>
      </c>
      <c r="U21" s="71">
        <f>(D21*VLOOKUP(B21,'FTE Allotment Factor'!$B$7:$H$64,7,FALSE)*Q21)+(D21*R21)</f>
        <v>21413079.77050047</v>
      </c>
      <c r="V21" s="71">
        <f>((((E21-1)*VLOOKUP(B21,'FTE Allotment Factor'!$B$7:$H$64,7,FALSE))+(K21*N21))*S21)+(T21*E21)</f>
        <v>3594759.5673298584</v>
      </c>
      <c r="W21" s="89">
        <f t="shared" si="3"/>
        <v>25007839.337830327</v>
      </c>
      <c r="Y21" s="89">
        <f>F21*(VLOOKUP(A21, 'OE&amp;E by Cluster'!$B$6:$C$9,2,FALSE))</f>
        <v>9422169.0415706746</v>
      </c>
      <c r="AA21" s="242">
        <f>'AB1058'!E19</f>
        <v>1176650.03</v>
      </c>
      <c r="AB21" s="89">
        <f t="shared" si="4"/>
        <v>66131987.639705405</v>
      </c>
      <c r="AC21" s="90">
        <f t="shared" si="0"/>
        <v>2.4869114757904428E-2</v>
      </c>
      <c r="AD21" s="54">
        <f t="shared" si="5"/>
        <v>133870.42032329028</v>
      </c>
    </row>
    <row r="22" spans="1:30" ht="20.149999999999999" customHeight="1" x14ac:dyDescent="0.35">
      <c r="A22" s="64">
        <v>2</v>
      </c>
      <c r="B22" s="65" t="s">
        <v>23</v>
      </c>
      <c r="D22" s="66">
        <f>RAS!M22</f>
        <v>93</v>
      </c>
      <c r="E22" s="66">
        <f>RAS!Q22</f>
        <v>18</v>
      </c>
      <c r="F22" s="67">
        <f t="shared" si="1"/>
        <v>111</v>
      </c>
      <c r="H22" s="70">
        <f>(F22-1)*'AVG RAS salary'!$F$66</f>
        <v>7974027.7810596693</v>
      </c>
      <c r="I22" s="70">
        <f>(F22-1)*(VLOOKUP(B22,'FTE Allotment Factor'!$B$6:$D$63,3))</f>
        <v>6972704.8790840404</v>
      </c>
      <c r="J22" s="70">
        <f>(F22-1)*(VLOOKUP(B22,'FTE Allotment Factor'!$B$6:$H$63,7))</f>
        <v>6972704.8790840404</v>
      </c>
      <c r="K22" s="242">
        <f>VLOOKUP(A22,'CEO Salary'!$G$7:$H$13,2)</f>
        <v>205599.94433590909</v>
      </c>
      <c r="L22" s="242">
        <f t="shared" si="6"/>
        <v>179782.13449613677</v>
      </c>
      <c r="N22" s="84">
        <f>VLOOKUP(B22,BLS!$B$5:$I$64,8, FALSE)</f>
        <v>0.87442696094512939</v>
      </c>
      <c r="O22" s="89">
        <f t="shared" si="7"/>
        <v>7152487.013580177</v>
      </c>
      <c r="Q22" s="86">
        <f>VLOOKUP(B22,'Program 10'!$A$7:$G$64,6)</f>
        <v>0.27696726566385199</v>
      </c>
      <c r="R22" s="8">
        <f>VLOOKUP(B22,'Program 10'!$A$7:$G$64,7)</f>
        <v>9314.1220000000012</v>
      </c>
      <c r="S22" s="86">
        <f>VLOOKUP(B22,'Program 90'!$A$7:$G$64,6)</f>
        <v>0.27906600000000004</v>
      </c>
      <c r="T22" s="8">
        <f>VLOOKUP(B22,'Program 90'!$A$7:$G$64,7)</f>
        <v>9484.3932857142881</v>
      </c>
      <c r="U22" s="71">
        <f>(D22*VLOOKUP(B22,'FTE Allotment Factor'!$B$7:$H$64,7,FALSE)*Q22)+(D22*R22)</f>
        <v>2498964.468105494</v>
      </c>
      <c r="V22" s="71">
        <f>((((E22-1)*VLOOKUP(B22,'FTE Allotment Factor'!$B$7:$H$64,7,FALSE))+(K22*N22))*S22)+(T22*E22)</f>
        <v>521611.63861879194</v>
      </c>
      <c r="W22" s="89">
        <f t="shared" si="3"/>
        <v>3020576.106724286</v>
      </c>
      <c r="Y22" s="89">
        <f>F22*(VLOOKUP(A22, 'OE&amp;E by Cluster'!$B$6:$C$9,2,FALSE))</f>
        <v>2117127.0518509005</v>
      </c>
      <c r="AA22" s="242">
        <f>'AB1058'!E20</f>
        <v>352509.53</v>
      </c>
      <c r="AB22" s="89">
        <f t="shared" si="4"/>
        <v>11937680.642155364</v>
      </c>
      <c r="AC22" s="90">
        <f t="shared" si="0"/>
        <v>4.4891974433070051E-3</v>
      </c>
      <c r="AD22" s="54">
        <f t="shared" si="5"/>
        <v>107546.67245185013</v>
      </c>
    </row>
    <row r="23" spans="1:30" ht="20.149999999999999" customHeight="1" x14ac:dyDescent="0.35">
      <c r="A23" s="64">
        <v>2</v>
      </c>
      <c r="B23" s="65" t="s">
        <v>24</v>
      </c>
      <c r="D23" s="66">
        <f>RAS!M23</f>
        <v>46</v>
      </c>
      <c r="E23" s="66">
        <f>RAS!Q23</f>
        <v>9</v>
      </c>
      <c r="F23" s="67">
        <f t="shared" si="1"/>
        <v>55</v>
      </c>
      <c r="H23" s="70">
        <f>(F23-1)*'AVG RAS salary'!$F$66</f>
        <v>3914522.7288838378</v>
      </c>
      <c r="I23" s="70">
        <f>(F23-1)*(VLOOKUP(B23,'FTE Allotment Factor'!$B$6:$D$63,3))</f>
        <v>2867912.009350731</v>
      </c>
      <c r="J23" s="70">
        <f>(F23-1)*(VLOOKUP(B23,'FTE Allotment Factor'!$B$6:$H$63,7))</f>
        <v>2867912.009350731</v>
      </c>
      <c r="K23" s="242">
        <f>VLOOKUP(A23,'CEO Salary'!$G$7:$H$13,2)</f>
        <v>205599.94433590909</v>
      </c>
      <c r="L23" s="242">
        <f t="shared" si="6"/>
        <v>150629.48673973404</v>
      </c>
      <c r="N23" s="84">
        <f>VLOOKUP(B23,BLS!$B$5:$I$64,8, FALSE)</f>
        <v>0.73263388872146606</v>
      </c>
      <c r="O23" s="89">
        <f t="shared" si="7"/>
        <v>3018541.4960904652</v>
      </c>
      <c r="Q23" s="86">
        <f>VLOOKUP(B23,'Program 10'!$A$7:$G$64,6)</f>
        <v>0.30540000000000012</v>
      </c>
      <c r="R23" s="8">
        <f>VLOOKUP(B23,'Program 10'!$A$7:$G$64,7)</f>
        <v>14650.33</v>
      </c>
      <c r="S23" s="86">
        <f>VLOOKUP(B23,'Program 90'!$A$7:$G$64,6)</f>
        <v>0.3054</v>
      </c>
      <c r="T23" s="8">
        <f>VLOOKUP(B23,'Program 90'!$A$7:$G$64,7)</f>
        <v>14650.33</v>
      </c>
      <c r="U23" s="71">
        <f>(D23*VLOOKUP(B23,'FTE Allotment Factor'!$B$7:$H$64,7,FALSE)*Q23)+(D23*R23)</f>
        <v>1420018.4220770895</v>
      </c>
      <c r="V23" s="71">
        <f>((((E23-1)*VLOOKUP(B23,'FTE Allotment Factor'!$B$7:$H$64,7,FALSE))+(K23*N23))*S23)+(T23*E23)</f>
        <v>307612.30082893895</v>
      </c>
      <c r="W23" s="89">
        <f t="shared" si="3"/>
        <v>1727630.7229060284</v>
      </c>
      <c r="Y23" s="89">
        <f>F23*(VLOOKUP(A23, 'OE&amp;E by Cluster'!$B$6:$C$9,2,FALSE))</f>
        <v>1049026.9175837794</v>
      </c>
      <c r="AA23" s="242">
        <f>'AB1058'!E21</f>
        <v>273156.45</v>
      </c>
      <c r="AB23" s="89">
        <f t="shared" si="4"/>
        <v>5522042.6865802724</v>
      </c>
      <c r="AC23" s="90">
        <f t="shared" si="0"/>
        <v>2.0765792496483236E-3</v>
      </c>
      <c r="AD23" s="54">
        <f t="shared" si="5"/>
        <v>100400.77611964132</v>
      </c>
    </row>
    <row r="24" spans="1:30" ht="20.149999999999999" customHeight="1" x14ac:dyDescent="0.35">
      <c r="A24" s="64">
        <v>1</v>
      </c>
      <c r="B24" s="65" t="s">
        <v>11</v>
      </c>
      <c r="D24" s="66">
        <f>RAS!M24</f>
        <v>16</v>
      </c>
      <c r="E24" s="66">
        <f>RAS!Q24</f>
        <v>5</v>
      </c>
      <c r="F24" s="67">
        <f t="shared" si="1"/>
        <v>21</v>
      </c>
      <c r="H24" s="70">
        <f>(F24-1)*'AVG RAS salary'!$F$66</f>
        <v>1449823.2329199398</v>
      </c>
      <c r="I24" s="70">
        <f>(F24-1)*(VLOOKUP(B24,'FTE Allotment Factor'!$B$6:$D$63,3))</f>
        <v>1163685.1993176036</v>
      </c>
      <c r="J24" s="70">
        <f>(F24-1)*(VLOOKUP(B24,'FTE Allotment Factor'!$B$6:$H$63,7))</f>
        <v>1163685.1993176036</v>
      </c>
      <c r="K24" s="242">
        <f>VLOOKUP(A24,'CEO Salary'!$G$7:$H$13,2)</f>
        <v>139232.32088888885</v>
      </c>
      <c r="L24" s="242">
        <f t="shared" si="6"/>
        <v>111753.34165305526</v>
      </c>
      <c r="N24" s="84">
        <f>VLOOKUP(B24,BLS!$B$5:$I$64,8, FALSE)</f>
        <v>0.80263936519622803</v>
      </c>
      <c r="O24" s="89">
        <f t="shared" si="7"/>
        <v>1275438.5409706589</v>
      </c>
      <c r="Q24" s="86">
        <f>VLOOKUP(B24,'Program 10'!$A$7:$G$64,6)</f>
        <v>0.15382060145657228</v>
      </c>
      <c r="R24" s="8">
        <f>VLOOKUP(B24,'Program 10'!$A$7:$G$64,7)</f>
        <v>10092.747747214071</v>
      </c>
      <c r="S24" s="86">
        <f>VLOOKUP(B24,'Program 90'!$A$7:$G$64,6)</f>
        <v>0.15625</v>
      </c>
      <c r="T24" s="8">
        <f>VLOOKUP(B24,'Program 90'!$A$7:$G$64,7)</f>
        <v>5179.2504250000011</v>
      </c>
      <c r="U24" s="71">
        <f>(D24*VLOOKUP(B24,'FTE Allotment Factor'!$B$7:$H$64,7,FALSE)*Q24)+(D24*R24)</f>
        <v>304682.9697675411</v>
      </c>
      <c r="V24" s="71">
        <f>((((E24-1)*VLOOKUP(B24,'FTE Allotment Factor'!$B$7:$H$64,7,FALSE))+(K24*N24))*S24)+(T24*E24)</f>
        <v>79722.874236964999</v>
      </c>
      <c r="W24" s="89">
        <f t="shared" si="3"/>
        <v>384405.84400450613</v>
      </c>
      <c r="Y24" s="89">
        <f>F24*(VLOOKUP(A24, 'OE&amp;E by Cluster'!$B$6:$C$9,2,FALSE))</f>
        <v>786494.97460812773</v>
      </c>
      <c r="AA24" s="242">
        <f>'AB1058'!E22</f>
        <v>113516.12</v>
      </c>
      <c r="AB24" s="89">
        <f t="shared" si="4"/>
        <v>2332823.239583293</v>
      </c>
      <c r="AC24" s="90">
        <f t="shared" si="0"/>
        <v>8.7726455722421306E-4</v>
      </c>
      <c r="AD24" s="54">
        <f t="shared" si="5"/>
        <v>111086.82093253775</v>
      </c>
    </row>
    <row r="25" spans="1:30" ht="20.149999999999999" customHeight="1" x14ac:dyDescent="0.35">
      <c r="A25" s="64">
        <v>4</v>
      </c>
      <c r="B25" s="65" t="s">
        <v>54</v>
      </c>
      <c r="D25" s="66">
        <f>RAS!M25</f>
        <v>3772</v>
      </c>
      <c r="E25" s="66">
        <f>RAS!Q25</f>
        <v>598</v>
      </c>
      <c r="F25" s="67">
        <f t="shared" si="1"/>
        <v>4370</v>
      </c>
      <c r="H25" s="70">
        <f>(F25-1)*'AVG RAS salary'!$F$66</f>
        <v>316713885.23136085</v>
      </c>
      <c r="I25" s="70">
        <f>(F25-1)*(VLOOKUP(B25,'FTE Allotment Factor'!$B$6:$D$63,3))</f>
        <v>440397928.16677582</v>
      </c>
      <c r="J25" s="70">
        <f>(F25-1)*(VLOOKUP(B25,'FTE Allotment Factor'!$B$6:$H$63,7))</f>
        <v>440397928.16677582</v>
      </c>
      <c r="K25" s="242">
        <f>VLOOKUP(A25,'CEO Salary'!$G$7:$H$13,2)</f>
        <v>290847.02558999998</v>
      </c>
      <c r="L25" s="242">
        <f t="shared" si="6"/>
        <v>404429.46601389471</v>
      </c>
      <c r="N25" s="84">
        <f>VLOOKUP(B25,BLS!$B$5:$I$64,8, FALSE)</f>
        <v>1.3905229568481445</v>
      </c>
      <c r="O25" s="89">
        <f t="shared" si="7"/>
        <v>440802357.63278973</v>
      </c>
      <c r="Q25" s="86">
        <f>VLOOKUP(B25,'Program 10'!$A$7:$G$64,6)</f>
        <v>0.30794580204918698</v>
      </c>
      <c r="R25" s="8">
        <f>VLOOKUP(B25,'Program 10'!$A$7:$G$64,7)</f>
        <v>29800.009755323834</v>
      </c>
      <c r="S25" s="86">
        <f>VLOOKUP(B25,'Program 90'!$A$7:$G$64,6)</f>
        <v>0.40319515056100552</v>
      </c>
      <c r="T25" s="8">
        <f>VLOOKUP(B25,'Program 90'!$A$7:$G$64,7)</f>
        <v>24423.525653829489</v>
      </c>
      <c r="U25" s="71">
        <f>(D25*VLOOKUP(B25,'FTE Allotment Factor'!$B$7:$H$64,7,FALSE)*Q25)+(D25*R25)</f>
        <v>229492775.91096687</v>
      </c>
      <c r="V25" s="71">
        <f>((((E25-1)*VLOOKUP(B25,'FTE Allotment Factor'!$B$7:$H$64,7,FALSE))+(K25*N25))*S25)+(T25*E25)</f>
        <v>39031799.139586903</v>
      </c>
      <c r="W25" s="89">
        <f t="shared" si="3"/>
        <v>268524575.0505538</v>
      </c>
      <c r="Y25" s="89">
        <f>F25*(VLOOKUP(A25, 'OE&amp;E by Cluster'!$B$6:$C$9,2,FALSE))</f>
        <v>83349956.906202108</v>
      </c>
      <c r="AA25" s="242">
        <f>'AB1058'!E23</f>
        <v>9765837.6899999995</v>
      </c>
      <c r="AB25" s="89">
        <f t="shared" si="4"/>
        <v>782911051.89954555</v>
      </c>
      <c r="AC25" s="90">
        <f t="shared" si="0"/>
        <v>0.2944158415591242</v>
      </c>
      <c r="AD25" s="54">
        <f t="shared" si="5"/>
        <v>179155.84711660081</v>
      </c>
    </row>
    <row r="26" spans="1:30" ht="20.149999999999999" customHeight="1" x14ac:dyDescent="0.35">
      <c r="A26" s="64">
        <v>2</v>
      </c>
      <c r="B26" s="65" t="s">
        <v>25</v>
      </c>
      <c r="D26" s="66">
        <f>RAS!M26</f>
        <v>90</v>
      </c>
      <c r="E26" s="66">
        <f>RAS!Q26</f>
        <v>18</v>
      </c>
      <c r="F26" s="67">
        <f t="shared" si="1"/>
        <v>108</v>
      </c>
      <c r="H26" s="70">
        <f>(F26-1)*'AVG RAS salary'!$F$66</f>
        <v>7756554.2961216783</v>
      </c>
      <c r="I26" s="70">
        <f>(F26-1)*(VLOOKUP(B26,'FTE Allotment Factor'!$B$6:$D$63,3))</f>
        <v>7122341.9763571257</v>
      </c>
      <c r="J26" s="70">
        <f>(F26-1)*(VLOOKUP(B26,'FTE Allotment Factor'!$B$6:$H$63,7))</f>
        <v>7122341.9763571257</v>
      </c>
      <c r="K26" s="242">
        <f>VLOOKUP(A26,'CEO Salary'!$G$7:$H$13,2)</f>
        <v>205599.94433590909</v>
      </c>
      <c r="L26" s="242">
        <f t="shared" si="6"/>
        <v>188789.12697259383</v>
      </c>
      <c r="N26" s="84">
        <f>VLOOKUP(B26,BLS!$B$5:$I$64,8, FALSE)</f>
        <v>0.91823530197143555</v>
      </c>
      <c r="O26" s="89">
        <f t="shared" si="7"/>
        <v>7311131.10332972</v>
      </c>
      <c r="Q26" s="86">
        <f>VLOOKUP(B26,'Program 10'!$A$7:$G$64,6)</f>
        <v>0.41066192072487123</v>
      </c>
      <c r="R26" s="8">
        <f>VLOOKUP(B26,'Program 10'!$A$7:$G$64,7)</f>
        <v>11974.229998868546</v>
      </c>
      <c r="S26" s="86">
        <f>VLOOKUP(B26,'Program 90'!$A$7:$G$64,6)</f>
        <v>0.41696777886612013</v>
      </c>
      <c r="T26" s="8">
        <f>VLOOKUP(B26,'Program 90'!$A$7:$G$64,7)</f>
        <v>11818</v>
      </c>
      <c r="U26" s="71">
        <f>(D26*VLOOKUP(B26,'FTE Allotment Factor'!$B$7:$H$64,7,FALSE)*Q26)+(D26*R26)</f>
        <v>3537855.6274338448</v>
      </c>
      <c r="V26" s="71">
        <f>((((E26-1)*VLOOKUP(B26,'FTE Allotment Factor'!$B$7:$H$64,7,FALSE))+(K26*N26))*S26)+(T26*E26)</f>
        <v>763278.31884981366</v>
      </c>
      <c r="W26" s="89">
        <f t="shared" si="3"/>
        <v>4301133.946283659</v>
      </c>
      <c r="Y26" s="89">
        <f>F26*(VLOOKUP(A26, 'OE&amp;E by Cluster'!$B$6:$C$9,2,FALSE))</f>
        <v>2059907.401800876</v>
      </c>
      <c r="AA26" s="242">
        <f>'AB1058'!E24</f>
        <v>359606.59</v>
      </c>
      <c r="AB26" s="89">
        <f t="shared" si="4"/>
        <v>13312565.861414256</v>
      </c>
      <c r="AC26" s="90">
        <f t="shared" si="0"/>
        <v>5.0062267889691807E-3</v>
      </c>
      <c r="AD26" s="54">
        <f t="shared" si="5"/>
        <v>123264.49871679867</v>
      </c>
    </row>
    <row r="27" spans="1:30" ht="20.149999999999999" customHeight="1" x14ac:dyDescent="0.35">
      <c r="A27" s="64">
        <v>2</v>
      </c>
      <c r="B27" s="65" t="s">
        <v>26</v>
      </c>
      <c r="D27" s="66">
        <f>RAS!M27</f>
        <v>83</v>
      </c>
      <c r="E27" s="66">
        <f>RAS!Q27</f>
        <v>17</v>
      </c>
      <c r="F27" s="67">
        <f t="shared" si="1"/>
        <v>100</v>
      </c>
      <c r="H27" s="70">
        <f>(F27-1)*'AVG RAS salary'!$F$66</f>
        <v>7176625.0029537026</v>
      </c>
      <c r="I27" s="70">
        <f>(F27-1)*(VLOOKUP(B27,'FTE Allotment Factor'!$B$6:$D$63,3))</f>
        <v>9445890.2124449182</v>
      </c>
      <c r="J27" s="70">
        <f>(F27-1)*(VLOOKUP(B27,'FTE Allotment Factor'!$B$6:$H$63,7))</f>
        <v>9445890.2124449182</v>
      </c>
      <c r="K27" s="242">
        <f>VLOOKUP(A27,'CEO Salary'!$G$7:$H$13,2)</f>
        <v>205599.94433590909</v>
      </c>
      <c r="L27" s="242">
        <f>IF(N27&lt;&gt;0,N27*K27,K27)</f>
        <v>270611.11610018346</v>
      </c>
      <c r="N27" s="84">
        <f>VLOOKUP(B27,BLS!$B$5:$I$64,8, FALSE)</f>
        <v>1.3162022829055786</v>
      </c>
      <c r="O27" s="89">
        <f t="shared" si="7"/>
        <v>9716501.328545101</v>
      </c>
      <c r="Q27" s="86">
        <f>VLOOKUP(B27,'Program 10'!$A$7:$G$64,6)</f>
        <v>0.22197455268721819</v>
      </c>
      <c r="R27" s="8">
        <f>VLOOKUP(B27,'Program 10'!$A$7:$G$64,7)</f>
        <v>17854.739999999987</v>
      </c>
      <c r="S27" s="86">
        <f>VLOOKUP(B27,'Program 90'!$A$7:$G$64,6)</f>
        <v>0.21576614529799551</v>
      </c>
      <c r="T27" s="8">
        <f>VLOOKUP(B27,'Program 90'!$A$7:$G$64,7)</f>
        <v>17854.739999999991</v>
      </c>
      <c r="U27" s="71">
        <f>(D27*VLOOKUP(B27,'FTE Allotment Factor'!$B$7:$H$64,7,FALSE)*Q27)+(D27*R27)</f>
        <v>3239822.4314658856</v>
      </c>
      <c r="V27" s="71">
        <f>((((E27-1)*VLOOKUP(B27,'FTE Allotment Factor'!$B$7:$H$64,7,FALSE))+(K27*N27))*S27)+(T27*E27)</f>
        <v>691309.73295892542</v>
      </c>
      <c r="W27" s="89">
        <f t="shared" si="3"/>
        <v>3931132.164424811</v>
      </c>
      <c r="Y27" s="89">
        <f>F27*(VLOOKUP(A27, 'OE&amp;E by Cluster'!$B$6:$C$9,2,FALSE))</f>
        <v>1907321.6683341444</v>
      </c>
      <c r="AA27" s="242">
        <f>'AB1058'!E25</f>
        <v>237095.3</v>
      </c>
      <c r="AB27" s="89">
        <f t="shared" si="4"/>
        <v>15317859.861304056</v>
      </c>
      <c r="AC27" s="90">
        <f t="shared" si="0"/>
        <v>5.7603230801360735E-3</v>
      </c>
      <c r="AD27" s="54">
        <f>AB27/F27</f>
        <v>153178.59861304055</v>
      </c>
    </row>
    <row r="28" spans="1:30" ht="20.149999999999999" customHeight="1" x14ac:dyDescent="0.35">
      <c r="A28" s="64">
        <v>1</v>
      </c>
      <c r="B28" s="65" t="s">
        <v>12</v>
      </c>
      <c r="D28" s="66">
        <f>RAS!M28</f>
        <v>10</v>
      </c>
      <c r="E28" s="66">
        <f>RAS!Q28</f>
        <v>4</v>
      </c>
      <c r="F28" s="67">
        <f t="shared" si="1"/>
        <v>14</v>
      </c>
      <c r="H28" s="70">
        <f>(F28-1)*'AVG RAS salary'!$F$66</f>
        <v>942385.10139796091</v>
      </c>
      <c r="I28" s="70">
        <f>(F28-1)*(VLOOKUP(B28,'FTE Allotment Factor'!$B$6:$D$63,3))</f>
        <v>817699.50194301864</v>
      </c>
      <c r="J28" s="70">
        <f>(F28-1)*(VLOOKUP(B28,'FTE Allotment Factor'!$B$6:$H$63,7))</f>
        <v>817699.50194301864</v>
      </c>
      <c r="K28" s="242">
        <f>VLOOKUP(A28,'CEO Salary'!$G$7:$H$13,2)</f>
        <v>139232.32088888885</v>
      </c>
      <c r="L28" s="242">
        <f t="shared" si="6"/>
        <v>120810.69541138364</v>
      </c>
      <c r="N28" s="84">
        <f>VLOOKUP(B28,BLS!$B$5:$I$64,8, FALSE)</f>
        <v>0.86769145727157593</v>
      </c>
      <c r="O28" s="89">
        <f t="shared" si="7"/>
        <v>938510.19735440228</v>
      </c>
      <c r="Q28" s="86">
        <f>VLOOKUP(B28,'Program 10'!$A$7:$G$64,6)</f>
        <v>0.17759116454474472</v>
      </c>
      <c r="R28" s="8">
        <f>VLOOKUP(B28,'Program 10'!$A$7:$G$64,7)</f>
        <v>13900.082861728399</v>
      </c>
      <c r="S28" s="86">
        <f>VLOOKUP(B28,'Program 90'!$A$7:$G$64,6)</f>
        <v>0.1734519449386985</v>
      </c>
      <c r="T28" s="8">
        <f>VLOOKUP(B28,'Program 90'!$A$7:$G$64,7)</f>
        <v>15709.155807692308</v>
      </c>
      <c r="U28" s="71">
        <f>(D28*VLOOKUP(B28,'FTE Allotment Factor'!$B$7:$H$64,7,FALSE)*Q28)+(D28*R28)</f>
        <v>250705.60307706738</v>
      </c>
      <c r="V28" s="71">
        <f>((((E28-1)*VLOOKUP(B28,'FTE Allotment Factor'!$B$7:$H$64,7,FALSE))+(K28*N28))*S28)+(T28*E28)</f>
        <v>116521.83539329079</v>
      </c>
      <c r="W28" s="89">
        <f t="shared" si="3"/>
        <v>367227.43847035815</v>
      </c>
      <c r="Y28" s="89">
        <f>F28*(VLOOKUP(A28, 'OE&amp;E by Cluster'!$B$6:$C$9,2,FALSE))</f>
        <v>524329.98307208507</v>
      </c>
      <c r="AA28" s="242">
        <f>'AB1058'!E26</f>
        <v>24370.29</v>
      </c>
      <c r="AB28" s="89">
        <f t="shared" si="4"/>
        <v>1805697.3288968455</v>
      </c>
      <c r="AC28" s="90">
        <f t="shared" si="0"/>
        <v>6.7903741733925578E-4</v>
      </c>
      <c r="AD28" s="54">
        <f t="shared" si="5"/>
        <v>128978.38063548897</v>
      </c>
    </row>
    <row r="29" spans="1:30" ht="20.149999999999999" customHeight="1" x14ac:dyDescent="0.35">
      <c r="A29" s="64">
        <v>2</v>
      </c>
      <c r="B29" s="65" t="s">
        <v>27</v>
      </c>
      <c r="D29" s="66">
        <f>RAS!M29</f>
        <v>51</v>
      </c>
      <c r="E29" s="66">
        <f>RAS!Q29</f>
        <v>10</v>
      </c>
      <c r="F29" s="67">
        <f t="shared" si="1"/>
        <v>61</v>
      </c>
      <c r="H29" s="70">
        <f>(F29-1)*'AVG RAS salary'!$F$66</f>
        <v>4349469.6987598194</v>
      </c>
      <c r="I29" s="70">
        <f>(F29-1)*(VLOOKUP(B29,'FTE Allotment Factor'!$B$6:$D$63,3))</f>
        <v>3447251.9181181318</v>
      </c>
      <c r="J29" s="70">
        <f>(F29-1)*(VLOOKUP(B29,'FTE Allotment Factor'!$B$6:$H$63,7))</f>
        <v>3447251.9181181318</v>
      </c>
      <c r="K29" s="242">
        <f>VLOOKUP(A29,'CEO Salary'!$G$7:$H$13,2)</f>
        <v>205599.94433590909</v>
      </c>
      <c r="L29" s="242">
        <f t="shared" si="6"/>
        <v>162952.00370726426</v>
      </c>
      <c r="N29" s="84">
        <f>VLOOKUP(B29,BLS!$B$5:$I$64,8, FALSE)</f>
        <v>0.79256832599639893</v>
      </c>
      <c r="O29" s="89">
        <f t="shared" si="7"/>
        <v>3610203.9218253959</v>
      </c>
      <c r="Q29" s="86">
        <f>VLOOKUP(B29,'Program 10'!$A$7:$G$64,6)</f>
        <v>0.44522326429619419</v>
      </c>
      <c r="R29" s="8">
        <f>VLOOKUP(B29,'Program 10'!$A$7:$G$64,7)</f>
        <v>15616.201388888891</v>
      </c>
      <c r="S29" s="86">
        <f>VLOOKUP(B29,'Program 90'!$A$7:$G$64,6)</f>
        <v>0.4854181416763742</v>
      </c>
      <c r="T29" s="8">
        <f>VLOOKUP(B29,'Program 90'!$A$7:$G$64,7)</f>
        <v>19739.75</v>
      </c>
      <c r="U29" s="71">
        <f>(D29*VLOOKUP(B29,'FTE Allotment Factor'!$B$7:$H$64,7,FALSE)*Q29)+(D29*R29)</f>
        <v>2101003.5098938243</v>
      </c>
      <c r="V29" s="71">
        <f>((((E29-1)*VLOOKUP(B29,'FTE Allotment Factor'!$B$7:$H$64,7,FALSE))+(K29*N29))*S29)+(T29*E29)</f>
        <v>527501.15181950491</v>
      </c>
      <c r="W29" s="89">
        <f t="shared" si="3"/>
        <v>2628504.6617133291</v>
      </c>
      <c r="Y29" s="89">
        <f>F29*(VLOOKUP(A29, 'OE&amp;E by Cluster'!$B$6:$C$9,2,FALSE))</f>
        <v>1163466.2176838282</v>
      </c>
      <c r="AA29" s="242">
        <f>'AB1058'!E27</f>
        <v>170435.37</v>
      </c>
      <c r="AB29" s="89">
        <f t="shared" si="4"/>
        <v>7231739.4312225534</v>
      </c>
      <c r="AC29" s="90">
        <f t="shared" si="0"/>
        <v>2.7195153848113998E-3</v>
      </c>
      <c r="AD29" s="54">
        <f t="shared" si="5"/>
        <v>118553.10542987792</v>
      </c>
    </row>
    <row r="30" spans="1:30" ht="20.149999999999999" customHeight="1" x14ac:dyDescent="0.35">
      <c r="A30" s="64">
        <v>2</v>
      </c>
      <c r="B30" s="65" t="s">
        <v>28</v>
      </c>
      <c r="D30" s="66">
        <f>RAS!M30</f>
        <v>128</v>
      </c>
      <c r="E30" s="66">
        <f>RAS!Q30</f>
        <v>26</v>
      </c>
      <c r="F30" s="67">
        <f t="shared" si="1"/>
        <v>154</v>
      </c>
      <c r="H30" s="70">
        <f>(F30-1)*'AVG RAS salary'!$F$66</f>
        <v>11091147.731837541</v>
      </c>
      <c r="I30" s="70">
        <f>(F30-1)*(VLOOKUP(B30,'FTE Allotment Factor'!$B$6:$D$63,3))</f>
        <v>8889867.8483298365</v>
      </c>
      <c r="J30" s="70">
        <f>(F30-1)*(VLOOKUP(B30,'FTE Allotment Factor'!$B$6:$H$63,7))</f>
        <v>8889867.8483298365</v>
      </c>
      <c r="K30" s="242">
        <f>VLOOKUP(A30,'CEO Salary'!$G$7:$H$13,2)</f>
        <v>205599.94433590909</v>
      </c>
      <c r="L30" s="242">
        <f t="shared" si="6"/>
        <v>164794.15647161222</v>
      </c>
      <c r="N30" s="84">
        <f>VLOOKUP(B30,BLS!$B$5:$I$64,8, FALSE)</f>
        <v>0.8015282154083252</v>
      </c>
      <c r="O30" s="89">
        <f t="shared" si="7"/>
        <v>9054662.0048014484</v>
      </c>
      <c r="Q30" s="86">
        <f>VLOOKUP(B30,'Program 10'!$A$7:$G$64,6)</f>
        <v>0.48781757488480304</v>
      </c>
      <c r="R30" s="8">
        <f>VLOOKUP(B30,'Program 10'!$A$7:$G$64,7)</f>
        <v>14834.781980719808</v>
      </c>
      <c r="S30" s="86">
        <f>VLOOKUP(B30,'Program 90'!$A$7:$G$64,6)</f>
        <v>0.51732208793133649</v>
      </c>
      <c r="T30" s="8">
        <f>VLOOKUP(B30,'Program 90'!$A$7:$G$64,7)</f>
        <v>15429.27483870968</v>
      </c>
      <c r="U30" s="71">
        <f>(D30*VLOOKUP(B30,'FTE Allotment Factor'!$B$7:$H$64,7,FALSE)*Q30)+(D30*R30)</f>
        <v>5526885.5783477323</v>
      </c>
      <c r="V30" s="71">
        <f>((((E30-1)*VLOOKUP(B30,'FTE Allotment Factor'!$B$7:$H$64,7,FALSE))+(K30*N30))*S30)+(T30*E30)</f>
        <v>1237871.1357105183</v>
      </c>
      <c r="W30" s="89">
        <f t="shared" si="3"/>
        <v>6764756.7140582502</v>
      </c>
      <c r="Y30" s="89">
        <f>F30*(VLOOKUP(A30, 'OE&amp;E by Cluster'!$B$6:$C$9,2,FALSE))</f>
        <v>2937275.3692345824</v>
      </c>
      <c r="AA30" s="242">
        <f>'AB1058'!E28</f>
        <v>665700</v>
      </c>
      <c r="AB30" s="89">
        <f t="shared" si="4"/>
        <v>18090994.088094279</v>
      </c>
      <c r="AC30" s="90">
        <f t="shared" si="0"/>
        <v>6.8031677879172754E-3</v>
      </c>
      <c r="AD30" s="54">
        <f t="shared" si="5"/>
        <v>117473.98758502779</v>
      </c>
    </row>
    <row r="31" spans="1:30" ht="20.149999999999999" customHeight="1" x14ac:dyDescent="0.35">
      <c r="A31" s="64">
        <v>1</v>
      </c>
      <c r="B31" s="65" t="s">
        <v>13</v>
      </c>
      <c r="D31" s="66">
        <f>RAS!M31</f>
        <v>7</v>
      </c>
      <c r="E31" s="66">
        <f>RAS!Q31</f>
        <v>3</v>
      </c>
      <c r="F31" s="67">
        <f t="shared" si="1"/>
        <v>10</v>
      </c>
      <c r="H31" s="70">
        <f>(F31-1)*'AVG RAS salary'!$F$66</f>
        <v>652420.45481397293</v>
      </c>
      <c r="I31" s="70">
        <f>(F31-1)*(VLOOKUP(B31,'FTE Allotment Factor'!$B$6:$D$63,3))</f>
        <v>364989.8768431652</v>
      </c>
      <c r="J31" s="70">
        <f>(F31-1)*(VLOOKUP(B31,'FTE Allotment Factor'!$B$6:$H$63,7))</f>
        <v>498329.41480577452</v>
      </c>
      <c r="K31" s="242">
        <f>VLOOKUP(A31,'CEO Salary'!$G$7:$H$13,2)</f>
        <v>139232.32088888885</v>
      </c>
      <c r="L31" s="242">
        <f t="shared" si="6"/>
        <v>77892.082136378798</v>
      </c>
      <c r="N31" s="84">
        <f>VLOOKUP(B31,BLS!$B$5:$I$64,8, FALSE)</f>
        <v>0.55943965911865234</v>
      </c>
      <c r="O31" s="89">
        <f t="shared" si="7"/>
        <v>576221.49694215332</v>
      </c>
      <c r="Q31" s="86">
        <f>VLOOKUP(B31,'Program 10'!$A$7:$G$64,6)</f>
        <v>0.34687343703231382</v>
      </c>
      <c r="R31" s="8">
        <f>VLOOKUP(B31,'Program 10'!$A$7:$G$64,7)</f>
        <v>19761.454101999996</v>
      </c>
      <c r="S31" s="86">
        <f>VLOOKUP(B31,'Program 90'!$A$7:$G$64,6)</f>
        <v>0.36559999999999998</v>
      </c>
      <c r="T31" s="8">
        <f>VLOOKUP(B31,'Program 90'!$A$7:$G$64,7)</f>
        <v>19595.301675999999</v>
      </c>
      <c r="U31" s="71">
        <f>(D31*VLOOKUP(B31,'FTE Allotment Factor'!$B$7:$H$64,7,FALSE)*Q31)+(D31*R31)</f>
        <v>272774.69629354047</v>
      </c>
      <c r="V31" s="71">
        <f>((((E31-1)*VLOOKUP(B31,'FTE Allotment Factor'!$B$7:$H$64,7,FALSE))+(K31*N31))*S31)+(T31*E31)</f>
        <v>127749.74671328034</v>
      </c>
      <c r="W31" s="89">
        <f t="shared" si="3"/>
        <v>400524.4430068208</v>
      </c>
      <c r="Y31" s="89">
        <f>F31*(VLOOKUP(A31, 'OE&amp;E by Cluster'!$B$6:$C$9,2,FALSE))</f>
        <v>374521.41648006078</v>
      </c>
      <c r="AA31" s="242">
        <f>'AB1058'!E29</f>
        <v>71818</v>
      </c>
      <c r="AB31" s="89">
        <f t="shared" si="4"/>
        <v>1279449.3564290348</v>
      </c>
      <c r="AC31" s="90">
        <f t="shared" si="0"/>
        <v>4.8114042852171525E-4</v>
      </c>
      <c r="AD31" s="54">
        <f t="shared" si="5"/>
        <v>127944.93564290348</v>
      </c>
    </row>
    <row r="32" spans="1:30" ht="20.149999999999999" customHeight="1" x14ac:dyDescent="0.35">
      <c r="A32" s="64">
        <v>1</v>
      </c>
      <c r="B32" s="65" t="s">
        <v>14</v>
      </c>
      <c r="D32" s="66">
        <f>RAS!M32</f>
        <v>10</v>
      </c>
      <c r="E32" s="66">
        <f>RAS!Q32</f>
        <v>4</v>
      </c>
      <c r="F32" s="67">
        <f t="shared" si="1"/>
        <v>14</v>
      </c>
      <c r="H32" s="70">
        <f>(F32-1)*'AVG RAS salary'!$F$66</f>
        <v>942385.10139796091</v>
      </c>
      <c r="I32" s="70">
        <f>(F32-1)*(VLOOKUP(B32,'FTE Allotment Factor'!$B$6:$D$63,3))</f>
        <v>850175.16745238844</v>
      </c>
      <c r="J32" s="70">
        <f>(F32-1)*(VLOOKUP(B32,'FTE Allotment Factor'!$B$6:$H$63,7))</f>
        <v>850175.16745238844</v>
      </c>
      <c r="K32" s="242">
        <f>VLOOKUP(A32,'CEO Salary'!$G$7:$H$13,2)</f>
        <v>139232.32088888885</v>
      </c>
      <c r="L32" s="242">
        <f t="shared" si="6"/>
        <v>125608.80000214303</v>
      </c>
      <c r="N32" s="84">
        <f>VLOOKUP(B32,BLS!$B$5:$I$64,8, FALSE)</f>
        <v>0.90215259790420532</v>
      </c>
      <c r="O32" s="89">
        <f t="shared" si="7"/>
        <v>975783.96745453146</v>
      </c>
      <c r="Q32" s="86">
        <f>VLOOKUP(B32,'Program 10'!$A$7:$G$64,6)</f>
        <v>0.33934176109314429</v>
      </c>
      <c r="R32" s="8">
        <f>VLOOKUP(B32,'Program 10'!$A$7:$G$64,7)</f>
        <v>18290.051536186682</v>
      </c>
      <c r="S32" s="86">
        <f>VLOOKUP(B32,'Program 90'!$A$7:$G$64,6)</f>
        <v>0.33292776354962539</v>
      </c>
      <c r="T32" s="8">
        <f>VLOOKUP(B32,'Program 90'!$A$7:$G$64,7)</f>
        <v>27036.237309375007</v>
      </c>
      <c r="U32" s="71">
        <f>(D32*VLOOKUP(B32,'FTE Allotment Factor'!$B$7:$H$64,7,FALSE)*Q32)+(D32*R32)</f>
        <v>404823.54502413783</v>
      </c>
      <c r="V32" s="71">
        <f>((((E32-1)*VLOOKUP(B32,'FTE Allotment Factor'!$B$7:$H$64,7,FALSE))+(K32*N32))*S32)+(T32*E32)</f>
        <v>215282.12544098537</v>
      </c>
      <c r="W32" s="89">
        <f t="shared" si="3"/>
        <v>620105.67046512314</v>
      </c>
      <c r="Y32" s="89">
        <f>F32*(VLOOKUP(A32, 'OE&amp;E by Cluster'!$B$6:$C$9,2,FALSE))</f>
        <v>524329.98307208507</v>
      </c>
      <c r="AA32" s="242">
        <f>'AB1058'!E30</f>
        <v>58645.06</v>
      </c>
      <c r="AB32" s="89">
        <f t="shared" si="4"/>
        <v>2061574.5609917394</v>
      </c>
      <c r="AC32" s="90">
        <f t="shared" si="0"/>
        <v>7.7526075004130028E-4</v>
      </c>
      <c r="AD32" s="54">
        <f t="shared" si="5"/>
        <v>147255.32578512424</v>
      </c>
    </row>
    <row r="33" spans="1:30" ht="20.149999999999999" customHeight="1" x14ac:dyDescent="0.35">
      <c r="A33" s="64">
        <v>3</v>
      </c>
      <c r="B33" s="65" t="s">
        <v>44</v>
      </c>
      <c r="D33" s="66">
        <f>RAS!M33</f>
        <v>172</v>
      </c>
      <c r="E33" s="66">
        <f>RAS!Q33</f>
        <v>27</v>
      </c>
      <c r="F33" s="67">
        <f t="shared" si="1"/>
        <v>199</v>
      </c>
      <c r="H33" s="70">
        <f>(F33-1)*'AVG RAS salary'!$F$66</f>
        <v>14353250.005907405</v>
      </c>
      <c r="I33" s="70">
        <f>(F33-1)*(VLOOKUP(B33,'FTE Allotment Factor'!$B$6:$D$63,3))</f>
        <v>16304306.981091617</v>
      </c>
      <c r="J33" s="70">
        <f>(F33-1)*(VLOOKUP(B33,'FTE Allotment Factor'!$B$6:$H$63,7))</f>
        <v>16304306.981091617</v>
      </c>
      <c r="K33" s="242">
        <f>VLOOKUP(A33,'CEO Salary'!$G$7:$H$13,2)</f>
        <v>199204.4966372918</v>
      </c>
      <c r="L33" s="242">
        <f t="shared" si="6"/>
        <v>226282.63730176055</v>
      </c>
      <c r="N33" s="84">
        <f>VLOOKUP(B33,BLS!$B$5:$I$64,8, FALSE)</f>
        <v>1.1359313726425171</v>
      </c>
      <c r="O33" s="89">
        <f t="shared" si="7"/>
        <v>16530589.618393376</v>
      </c>
      <c r="Q33" s="86">
        <f>VLOOKUP(B33,'Program 10'!$A$7:$G$64,6)</f>
        <v>0.1593595792259164</v>
      </c>
      <c r="R33" s="8">
        <f>VLOOKUP(B33,'Program 10'!$A$7:$G$64,7)</f>
        <v>27531.214818236887</v>
      </c>
      <c r="S33" s="86">
        <f>VLOOKUP(B33,'Program 90'!$A$7:$G$64,6)</f>
        <v>0.15788674718897333</v>
      </c>
      <c r="T33" s="8">
        <f>VLOOKUP(B33,'Program 90'!$A$7:$G$64,7)</f>
        <v>28674.773686857134</v>
      </c>
      <c r="U33" s="71">
        <f>(D33*VLOOKUP(B33,'FTE Allotment Factor'!$B$7:$H$64,7,FALSE)*Q33)+(D33*R33)</f>
        <v>6992432.4336520592</v>
      </c>
      <c r="V33" s="71">
        <f>((((E33-1)*VLOOKUP(B33,'FTE Allotment Factor'!$B$7:$H$64,7,FALSE))+(K33*N33))*S33)+(T33*E33)</f>
        <v>1147976.6456334065</v>
      </c>
      <c r="W33" s="89">
        <f t="shared" si="3"/>
        <v>8140409.0792854652</v>
      </c>
      <c r="Y33" s="89">
        <f>F33*(VLOOKUP(A33, 'OE&amp;E by Cluster'!$B$6:$C$9,2,FALSE))</f>
        <v>3795570.1199849476</v>
      </c>
      <c r="AA33" s="242">
        <f>'AB1058'!E31</f>
        <v>440258.66</v>
      </c>
      <c r="AB33" s="89">
        <f t="shared" si="4"/>
        <v>28026310.157663789</v>
      </c>
      <c r="AC33" s="90">
        <f t="shared" si="0"/>
        <v>1.0539370559204141E-2</v>
      </c>
      <c r="AD33" s="54">
        <f t="shared" si="5"/>
        <v>140835.72943549644</v>
      </c>
    </row>
    <row r="34" spans="1:30" ht="20.149999999999999" customHeight="1" x14ac:dyDescent="0.35">
      <c r="A34" s="64">
        <v>2</v>
      </c>
      <c r="B34" s="65" t="s">
        <v>29</v>
      </c>
      <c r="D34" s="66">
        <f>RAS!M34</f>
        <v>55</v>
      </c>
      <c r="E34" s="66">
        <f>RAS!Q34</f>
        <v>11</v>
      </c>
      <c r="F34" s="67">
        <f t="shared" si="1"/>
        <v>66</v>
      </c>
      <c r="H34" s="70">
        <f>(F34-1)*'AVG RAS salary'!$F$66</f>
        <v>4711925.506989805</v>
      </c>
      <c r="I34" s="70">
        <f>(F34-1)*(VLOOKUP(B34,'FTE Allotment Factor'!$B$6:$D$63,3))</f>
        <v>5934669.7401703522</v>
      </c>
      <c r="J34" s="70">
        <f>(F34-1)*(VLOOKUP(B34,'FTE Allotment Factor'!$B$6:$H$63,7))</f>
        <v>5934669.7401703522</v>
      </c>
      <c r="K34" s="242">
        <f>VLOOKUP(A34,'CEO Salary'!$G$7:$H$13,2)</f>
        <v>205599.94433590909</v>
      </c>
      <c r="L34" s="242">
        <f t="shared" si="6"/>
        <v>258953.11087176503</v>
      </c>
      <c r="N34" s="84">
        <f>VLOOKUP(B34,BLS!$B$5:$I$64,8, FALSE)</f>
        <v>1.2594999074935913</v>
      </c>
      <c r="O34" s="89">
        <f t="shared" si="7"/>
        <v>6193622.851042117</v>
      </c>
      <c r="Q34" s="86">
        <f>VLOOKUP(B34,'Program 10'!$A$7:$G$64,6)</f>
        <v>0.27367444305580058</v>
      </c>
      <c r="R34" s="8">
        <f>VLOOKUP(B34,'Program 10'!$A$7:$G$64,7)</f>
        <v>21422.733048728816</v>
      </c>
      <c r="S34" s="86">
        <f>VLOOKUP(B34,'Program 90'!$A$7:$G$64,6)</f>
        <v>0.26951891662497451</v>
      </c>
      <c r="T34" s="8">
        <f>VLOOKUP(B34,'Program 90'!$A$7:$G$64,7)</f>
        <v>20750.634782608693</v>
      </c>
      <c r="U34" s="71">
        <f>(D34*VLOOKUP(B34,'FTE Allotment Factor'!$B$7:$H$64,7,FALSE)*Q34)+(D34*R34)</f>
        <v>2552545.8403318981</v>
      </c>
      <c r="V34" s="71">
        <f>((((E34-1)*VLOOKUP(B34,'FTE Allotment Factor'!$B$7:$H$64,7,FALSE))+(K34*N34))*S34)+(T34*E34)</f>
        <v>544127.55356871022</v>
      </c>
      <c r="W34" s="89">
        <f t="shared" si="3"/>
        <v>3096673.3939006082</v>
      </c>
      <c r="Y34" s="89">
        <f>F34*(VLOOKUP(A34, 'OE&amp;E by Cluster'!$B$6:$C$9,2,FALSE))</f>
        <v>1258832.3011005353</v>
      </c>
      <c r="AA34" s="242">
        <f>'AB1058'!E32</f>
        <v>162305.78</v>
      </c>
      <c r="AB34" s="89">
        <f t="shared" si="4"/>
        <v>10386822.766043261</v>
      </c>
      <c r="AC34" s="90">
        <f t="shared" si="0"/>
        <v>3.905993098922905E-3</v>
      </c>
      <c r="AD34" s="54">
        <f t="shared" si="5"/>
        <v>157376.10251580697</v>
      </c>
    </row>
    <row r="35" spans="1:30" ht="20.149999999999999" customHeight="1" x14ac:dyDescent="0.35">
      <c r="A35" s="64">
        <v>2</v>
      </c>
      <c r="B35" s="65" t="s">
        <v>30</v>
      </c>
      <c r="D35" s="66">
        <f>RAS!M35</f>
        <v>42</v>
      </c>
      <c r="E35" s="66">
        <f>RAS!Q35</f>
        <v>9</v>
      </c>
      <c r="F35" s="67">
        <f t="shared" si="1"/>
        <v>51</v>
      </c>
      <c r="H35" s="70">
        <f>(F35-1)*'AVG RAS salary'!$F$66</f>
        <v>3624558.0822998499</v>
      </c>
      <c r="I35" s="70">
        <f>(F35-1)*(VLOOKUP(B35,'FTE Allotment Factor'!$B$6:$D$63,3))</f>
        <v>3870921.5913358717</v>
      </c>
      <c r="J35" s="70">
        <f>(F35-1)*(VLOOKUP(B35,'FTE Allotment Factor'!$B$6:$H$63,7))</f>
        <v>3870921.5913358717</v>
      </c>
      <c r="K35" s="242">
        <f>VLOOKUP(A35,'CEO Salary'!$G$7:$H$13,2)</f>
        <v>205599.94433590909</v>
      </c>
      <c r="L35" s="242">
        <f t="shared" si="6"/>
        <v>219574.7028013785</v>
      </c>
      <c r="N35" s="84">
        <f>VLOOKUP(B35,BLS!$B$5:$I$64,8, FALSE)</f>
        <v>1.0679706335067749</v>
      </c>
      <c r="O35" s="89">
        <f t="shared" si="7"/>
        <v>4090496.2941372502</v>
      </c>
      <c r="Q35" s="86">
        <f>VLOOKUP(B35,'Program 10'!$A$7:$G$64,6)</f>
        <v>0.48415712811073219</v>
      </c>
      <c r="R35" s="8">
        <f>VLOOKUP(B35,'Program 10'!$A$7:$G$64,7)</f>
        <v>16977.608548867978</v>
      </c>
      <c r="S35" s="86">
        <f>VLOOKUP(B35,'Program 90'!$A$7:$G$64,6)</f>
        <v>0.4839282954867839</v>
      </c>
      <c r="T35" s="8">
        <f>VLOOKUP(B35,'Program 90'!$A$7:$G$64,7)</f>
        <v>17230.482250325877</v>
      </c>
      <c r="U35" s="71">
        <f>(D35*VLOOKUP(B35,'FTE Allotment Factor'!$B$7:$H$64,7,FALSE)*Q35)+(D35*R35)</f>
        <v>2287332.3549269759</v>
      </c>
      <c r="V35" s="71">
        <f>((((E35-1)*VLOOKUP(B35,'FTE Allotment Factor'!$B$7:$H$64,7,FALSE))+(K35*N35))*S35)+(T35*E35)</f>
        <v>561052.50993692642</v>
      </c>
      <c r="W35" s="89">
        <f t="shared" si="3"/>
        <v>2848384.8648639023</v>
      </c>
      <c r="Y35" s="89">
        <f>F35*(VLOOKUP(A35, 'OE&amp;E by Cluster'!$B$6:$C$9,2,FALSE))</f>
        <v>972734.05085041374</v>
      </c>
      <c r="AA35" s="242">
        <f>'AB1058'!E33</f>
        <v>311838.66000000003</v>
      </c>
      <c r="AB35" s="89">
        <f t="shared" si="4"/>
        <v>7599776.5498515666</v>
      </c>
      <c r="AC35" s="90">
        <f t="shared" si="0"/>
        <v>2.8579167494916613E-3</v>
      </c>
      <c r="AD35" s="54">
        <f t="shared" si="5"/>
        <v>149015.22646767777</v>
      </c>
    </row>
    <row r="36" spans="1:30" ht="20.149999999999999" customHeight="1" x14ac:dyDescent="0.35">
      <c r="A36" s="64">
        <v>4</v>
      </c>
      <c r="B36" s="65" t="s">
        <v>55</v>
      </c>
      <c r="D36" s="66">
        <f>RAS!M36</f>
        <v>1127</v>
      </c>
      <c r="E36" s="66">
        <f>RAS!Q36</f>
        <v>182</v>
      </c>
      <c r="F36" s="67">
        <f t="shared" si="1"/>
        <v>1309</v>
      </c>
      <c r="H36" s="70">
        <f>(F36-1)*'AVG RAS salary'!$F$66</f>
        <v>94818439.432964072</v>
      </c>
      <c r="I36" s="70">
        <f>(F36-1)*(VLOOKUP(B36,'FTE Allotment Factor'!$B$6:$D$63,3))</f>
        <v>117914573.34006333</v>
      </c>
      <c r="J36" s="70">
        <f>(F36-1)*(VLOOKUP(B36,'FTE Allotment Factor'!$B$6:$H$63,7))</f>
        <v>117914573.34006333</v>
      </c>
      <c r="K36" s="242">
        <f>VLOOKUP(A36,'CEO Salary'!$G$7:$H$13,2)</f>
        <v>290847.02558999998</v>
      </c>
      <c r="L36" s="242">
        <f t="shared" si="6"/>
        <v>361692.33679402317</v>
      </c>
      <c r="N36" s="84">
        <f>VLOOKUP(B36,BLS!$B$5:$I$64,8, FALSE)</f>
        <v>1.2435827255249023</v>
      </c>
      <c r="O36" s="89">
        <f t="shared" si="7"/>
        <v>118276265.67685735</v>
      </c>
      <c r="Q36" s="86">
        <f>VLOOKUP(B36,'Program 10'!$A$7:$G$64,6)</f>
        <v>0.44887869402288616</v>
      </c>
      <c r="R36" s="8">
        <f>VLOOKUP(B36,'Program 10'!$A$7:$G$64,7)</f>
        <v>12682.467046094795</v>
      </c>
      <c r="S36" s="86">
        <f>VLOOKUP(B36,'Program 90'!$A$7:$G$64,6)</f>
        <v>0.44945636455274673</v>
      </c>
      <c r="T36" s="8">
        <f>VLOOKUP(B36,'Program 90'!$A$7:$G$64,7)</f>
        <v>13353.588089896804</v>
      </c>
      <c r="U36" s="71">
        <f>(D36*VLOOKUP(B36,'FTE Allotment Factor'!$B$7:$H$64,7,FALSE)*Q36)+(D36*R36)</f>
        <v>59898160.10668426</v>
      </c>
      <c r="V36" s="71">
        <f>((((E36-1)*VLOOKUP(B36,'FTE Allotment Factor'!$B$7:$H$64,7,FALSE))+(K36*N36))*S36)+(T36*E36)</f>
        <v>9926663.7032163125</v>
      </c>
      <c r="W36" s="89">
        <f t="shared" si="3"/>
        <v>69824823.809900567</v>
      </c>
      <c r="Y36" s="89">
        <f>F36*(VLOOKUP(A36, 'OE&amp;E by Cluster'!$B$6:$C$9,2,FALSE))</f>
        <v>24966840.638493951</v>
      </c>
      <c r="AA36" s="242">
        <f>'AB1058'!E34</f>
        <v>2894105.69</v>
      </c>
      <c r="AB36" s="89">
        <f t="shared" si="4"/>
        <v>210173824.43525189</v>
      </c>
      <c r="AC36" s="90">
        <f t="shared" si="0"/>
        <v>7.9036441297732338E-2</v>
      </c>
      <c r="AD36" s="54">
        <f t="shared" si="5"/>
        <v>160560.59926298846</v>
      </c>
    </row>
    <row r="37" spans="1:30" ht="20.149999999999999" customHeight="1" x14ac:dyDescent="0.35">
      <c r="A37" s="64">
        <v>2</v>
      </c>
      <c r="B37" s="65" t="s">
        <v>31</v>
      </c>
      <c r="D37" s="66">
        <f>RAS!M37</f>
        <v>137</v>
      </c>
      <c r="E37" s="66">
        <f>RAS!Q37</f>
        <v>27</v>
      </c>
      <c r="F37" s="67">
        <f t="shared" si="1"/>
        <v>164</v>
      </c>
      <c r="H37" s="70">
        <f>(F37-1)*'AVG RAS salary'!$F$66</f>
        <v>11816059.34829751</v>
      </c>
      <c r="I37" s="70">
        <f>(F37-1)*(VLOOKUP(B37,'FTE Allotment Factor'!$B$6:$D$63,3))</f>
        <v>13877705.20705604</v>
      </c>
      <c r="J37" s="70">
        <f>(F37-1)*(VLOOKUP(B37,'FTE Allotment Factor'!$B$6:$H$63,7))</f>
        <v>13877705.20705604</v>
      </c>
      <c r="K37" s="242">
        <f>VLOOKUP(A37,'CEO Salary'!$G$7:$H$13,2)</f>
        <v>205599.94433590909</v>
      </c>
      <c r="L37" s="242">
        <f t="shared" si="6"/>
        <v>241472.67155458074</v>
      </c>
      <c r="N37" s="84">
        <f>VLOOKUP(B37,BLS!$B$5:$I$64,8, FALSE)</f>
        <v>1.17447829246521</v>
      </c>
      <c r="O37" s="89">
        <f t="shared" si="7"/>
        <v>14119177.87861062</v>
      </c>
      <c r="Q37" s="86">
        <f>VLOOKUP(B37,'Program 10'!$A$7:$G$64,6)</f>
        <v>0.39037026603468633</v>
      </c>
      <c r="R37" s="8">
        <f>VLOOKUP(B37,'Program 10'!$A$7:$G$64,7)</f>
        <v>25817.488440304078</v>
      </c>
      <c r="S37" s="86">
        <f>VLOOKUP(B37,'Program 90'!$A$7:$G$64,6)</f>
        <v>0.3931358615005538</v>
      </c>
      <c r="T37" s="8">
        <f>VLOOKUP(B37,'Program 90'!$A$7:$G$64,7)</f>
        <v>26364.241313203962</v>
      </c>
      <c r="U37" s="71">
        <f>(D37*VLOOKUP(B37,'FTE Allotment Factor'!$B$7:$H$64,7,FALSE)*Q37)+(D37*R37)</f>
        <v>8090307.3021328868</v>
      </c>
      <c r="V37" s="71">
        <f>((((E37-1)*VLOOKUP(B37,'FTE Allotment Factor'!$B$7:$H$64,7,FALSE))+(K37*N37))*S37)+(T37*E37)</f>
        <v>1677020.1521426884</v>
      </c>
      <c r="W37" s="89">
        <f t="shared" si="3"/>
        <v>9767327.4542755745</v>
      </c>
      <c r="Y37" s="89">
        <f>F37*(VLOOKUP(A37, 'OE&amp;E by Cluster'!$B$6:$C$9,2,FALSE))</f>
        <v>3128007.5360679971</v>
      </c>
      <c r="AA37" s="242">
        <f>'AB1058'!E35</f>
        <v>329490.8</v>
      </c>
      <c r="AB37" s="89">
        <f t="shared" si="4"/>
        <v>26685022.068954192</v>
      </c>
      <c r="AC37" s="90">
        <f t="shared" si="0"/>
        <v>1.0034975506340162E-2</v>
      </c>
      <c r="AD37" s="54">
        <f>AB37/F37</f>
        <v>162713.54920094021</v>
      </c>
    </row>
    <row r="38" spans="1:30" ht="20.149999999999999" customHeight="1" x14ac:dyDescent="0.35">
      <c r="A38" s="64">
        <v>1</v>
      </c>
      <c r="B38" s="65" t="s">
        <v>15</v>
      </c>
      <c r="D38" s="66">
        <f>RAS!M38</f>
        <v>10</v>
      </c>
      <c r="E38" s="66">
        <f>RAS!Q38</f>
        <v>3</v>
      </c>
      <c r="F38" s="67">
        <f t="shared" si="1"/>
        <v>13</v>
      </c>
      <c r="H38" s="70">
        <f>(F38-1)*'AVG RAS salary'!$F$66</f>
        <v>869893.93975196395</v>
      </c>
      <c r="I38" s="70">
        <f>(F38-1)*(VLOOKUP(B38,'FTE Allotment Factor'!$B$6:$D$63,3))</f>
        <v>612172.73242635012</v>
      </c>
      <c r="J38" s="70">
        <f>(F38-1)*(VLOOKUP(B38,'FTE Allotment Factor'!$B$6:$H$63,7))</f>
        <v>664439.21974103269</v>
      </c>
      <c r="K38" s="242">
        <f>VLOOKUP(A38,'CEO Salary'!$G$7:$H$13,2)</f>
        <v>139232.32088888885</v>
      </c>
      <c r="L38" s="242">
        <f t="shared" si="6"/>
        <v>97982.324540525718</v>
      </c>
      <c r="N38" s="84">
        <f>VLOOKUP(B38,BLS!$B$5:$I$64,8, FALSE)</f>
        <v>0.70373260974884033</v>
      </c>
      <c r="O38" s="89">
        <f t="shared" si="7"/>
        <v>762421.54428155837</v>
      </c>
      <c r="Q38" s="86">
        <f>VLOOKUP(B38,'Program 10'!$A$7:$G$64,6)</f>
        <v>0.27700000000000008</v>
      </c>
      <c r="R38" s="8">
        <f>VLOOKUP(B38,'Program 10'!$A$7:$G$64,7)</f>
        <v>16816.161290322583</v>
      </c>
      <c r="S38" s="86">
        <f>VLOOKUP(B38,'Program 90'!$A$7:$G$64,6)</f>
        <v>0.27700000000000002</v>
      </c>
      <c r="T38" s="8">
        <f>VLOOKUP(B38,'Program 90'!$A$7:$G$64,7)</f>
        <v>23871</v>
      </c>
      <c r="U38" s="71">
        <f>(D38*VLOOKUP(B38,'FTE Allotment Factor'!$B$7:$H$64,7,FALSE)*Q38)+(D38*R38)</f>
        <v>321536.33279344754</v>
      </c>
      <c r="V38" s="71">
        <f>((((E38-1)*VLOOKUP(B38,'FTE Allotment Factor'!$B$7:$H$64,7,FALSE))+(K38*N38))*S38)+(T38*E38)</f>
        <v>129429.04787576997</v>
      </c>
      <c r="W38" s="89">
        <f t="shared" si="3"/>
        <v>450965.3806692175</v>
      </c>
      <c r="Y38" s="89">
        <f>F38*(VLOOKUP(A38, 'OE&amp;E by Cluster'!$B$6:$C$9,2,FALSE))</f>
        <v>486877.84142407903</v>
      </c>
      <c r="AA38" s="242">
        <f>'AB1058'!E36</f>
        <v>151355.48000000001</v>
      </c>
      <c r="AB38" s="89">
        <f t="shared" si="4"/>
        <v>1548909.2863748549</v>
      </c>
      <c r="AC38" s="90">
        <f t="shared" si="0"/>
        <v>5.8247157188593031E-4</v>
      </c>
      <c r="AD38" s="54">
        <f t="shared" si="5"/>
        <v>119146.86818268114</v>
      </c>
    </row>
    <row r="39" spans="1:30" ht="20.149999999999999" customHeight="1" x14ac:dyDescent="0.35">
      <c r="A39" s="64">
        <v>4</v>
      </c>
      <c r="B39" s="65" t="s">
        <v>56</v>
      </c>
      <c r="D39" s="66">
        <f>RAS!M39</f>
        <v>879</v>
      </c>
      <c r="E39" s="66">
        <f>RAS!Q39</f>
        <v>141</v>
      </c>
      <c r="F39" s="67">
        <f t="shared" ref="F39:F64" si="8">SUM(D39:E39)</f>
        <v>1020</v>
      </c>
      <c r="H39" s="70">
        <f>(F39-1)*'AVG RAS salary'!$F$66</f>
        <v>73868493.717270941</v>
      </c>
      <c r="I39" s="70">
        <f>(F39-1)*(VLOOKUP(B39,'FTE Allotment Factor'!$B$6:$D$63,3))</f>
        <v>81121566.974670842</v>
      </c>
      <c r="J39" s="70">
        <f>(F39-1)*(VLOOKUP(B39,'FTE Allotment Factor'!$B$6:$H$63,7))</f>
        <v>81121566.974670842</v>
      </c>
      <c r="K39" s="242">
        <f>VLOOKUP(A39,'CEO Salary'!$G$7:$H$13,2)</f>
        <v>290847.02558999998</v>
      </c>
      <c r="L39" s="242">
        <f t="shared" si="6"/>
        <v>319405.00311388588</v>
      </c>
      <c r="N39" s="84">
        <f>VLOOKUP(B39,BLS!$B$5:$I$64,8, FALSE)</f>
        <v>1.0981889963150024</v>
      </c>
      <c r="O39" s="89">
        <f t="shared" si="7"/>
        <v>81440971.977784723</v>
      </c>
      <c r="Q39" s="86">
        <f>VLOOKUP(B39,'Program 10'!$A$7:$G$64,6)</f>
        <v>0.37742607390638588</v>
      </c>
      <c r="R39" s="8">
        <f>VLOOKUP(B39,'Program 10'!$A$7:$G$64,7)</f>
        <v>18273.897082123505</v>
      </c>
      <c r="S39" s="86">
        <f>VLOOKUP(B39,'Program 90'!$A$7:$G$64,6)</f>
        <v>0.37765858479837972</v>
      </c>
      <c r="T39" s="8">
        <f>VLOOKUP(B39,'Program 90'!$A$7:$G$64,7)</f>
        <v>20592.666833238087</v>
      </c>
      <c r="U39" s="71">
        <f>(D39*VLOOKUP(B39,'FTE Allotment Factor'!$B$7:$H$64,7,FALSE)*Q39)+(D39*R39)</f>
        <v>42473638.551835723</v>
      </c>
      <c r="V39" s="71">
        <f>((((E39-1)*VLOOKUP(B39,'FTE Allotment Factor'!$B$7:$H$64,7,FALSE))+(K39*N39))*S39)+(T39*E39)</f>
        <v>7233294.9748903904</v>
      </c>
      <c r="W39" s="89">
        <f t="shared" ref="W39:W64" si="9">SUM(U39:V39)</f>
        <v>49706933.526726112</v>
      </c>
      <c r="Y39" s="89">
        <f>F39*(VLOOKUP(A39, 'OE&amp;E by Cluster'!$B$6:$C$9,2,FALSE))</f>
        <v>19454681.017008275</v>
      </c>
      <c r="AA39" s="242">
        <f>'AB1058'!E37</f>
        <v>1660651.6099999999</v>
      </c>
      <c r="AB39" s="89">
        <f t="shared" ref="AB39:AB64" si="10">(O39+W39+Y39)-AA39</f>
        <v>148941934.91151911</v>
      </c>
      <c r="AC39" s="90">
        <f t="shared" ref="AC39:AC64" si="11">AB39/$AB$65</f>
        <v>5.6010021833292067E-2</v>
      </c>
      <c r="AD39" s="54">
        <f t="shared" si="5"/>
        <v>146021.50481521481</v>
      </c>
    </row>
    <row r="40" spans="1:30" ht="20.149999999999999" customHeight="1" x14ac:dyDescent="0.35">
      <c r="A40" s="64">
        <v>4</v>
      </c>
      <c r="B40" s="65" t="s">
        <v>57</v>
      </c>
      <c r="D40" s="66">
        <f>RAS!M40</f>
        <v>580</v>
      </c>
      <c r="E40" s="66">
        <f>RAS!Q40</f>
        <v>90</v>
      </c>
      <c r="F40" s="67">
        <f t="shared" si="8"/>
        <v>670</v>
      </c>
      <c r="H40" s="70">
        <f>(F40-1)*'AVG RAS salary'!$F$66</f>
        <v>48496587.141171992</v>
      </c>
      <c r="I40" s="70">
        <f>(F40-1)*(VLOOKUP(B40,'FTE Allotment Factor'!$B$6:$D$63,3))</f>
        <v>63960766.535998315</v>
      </c>
      <c r="J40" s="70">
        <f>(F40-1)*(VLOOKUP(B40,'FTE Allotment Factor'!$B$6:$H$63,7))</f>
        <v>63960766.535998315</v>
      </c>
      <c r="K40" s="242">
        <f>VLOOKUP(A40,'CEO Salary'!$G$7:$H$13,2)</f>
        <v>290847.02558999998</v>
      </c>
      <c r="L40" s="242">
        <f t="shared" si="6"/>
        <v>383589.85236011294</v>
      </c>
      <c r="N40" s="84">
        <f>VLOOKUP(B40,BLS!$B$5:$I$64,8, FALSE)</f>
        <v>1.3188714981079102</v>
      </c>
      <c r="O40" s="89">
        <f t="shared" si="7"/>
        <v>64344356.388358429</v>
      </c>
      <c r="Q40" s="86">
        <f>VLOOKUP(B40,'Program 10'!$A$7:$G$64,6)</f>
        <v>0.43598255508958877</v>
      </c>
      <c r="R40" s="8">
        <f>VLOOKUP(B40,'Program 10'!$A$7:$G$64,7)</f>
        <v>19888.602191151902</v>
      </c>
      <c r="S40" s="86">
        <f>VLOOKUP(B40,'Program 90'!$A$7:$G$64,6)</f>
        <v>0.45199881190634794</v>
      </c>
      <c r="T40" s="8">
        <f>VLOOKUP(B40,'Program 90'!$A$7:$G$64,7)</f>
        <v>20834.674510367084</v>
      </c>
      <c r="U40" s="71">
        <f>(D40*VLOOKUP(B40,'FTE Allotment Factor'!$B$7:$H$64,7,FALSE)*Q40)+(D40*R40)</f>
        <v>35711400.456988975</v>
      </c>
      <c r="V40" s="71">
        <f>((((E40-1)*VLOOKUP(B40,'FTE Allotment Factor'!$B$7:$H$64,7,FALSE))+(K40*N40))*S40)+(T40*E40)</f>
        <v>5894552.1205252949</v>
      </c>
      <c r="W40" s="89">
        <f t="shared" si="9"/>
        <v>41605952.577514268</v>
      </c>
      <c r="Y40" s="89">
        <f>F40*(VLOOKUP(A40, 'OE&amp;E by Cluster'!$B$6:$C$9,2,FALSE))</f>
        <v>12779055.177838769</v>
      </c>
      <c r="AA40" s="242">
        <f>'AB1058'!E38</f>
        <v>2120244.5999999996</v>
      </c>
      <c r="AB40" s="89">
        <f t="shared" si="10"/>
        <v>116609119.54371148</v>
      </c>
      <c r="AC40" s="90">
        <f t="shared" si="11"/>
        <v>4.3851178215753919E-2</v>
      </c>
      <c r="AD40" s="54">
        <f t="shared" si="5"/>
        <v>174043.46200553954</v>
      </c>
    </row>
    <row r="41" spans="1:30" ht="20.149999999999999" customHeight="1" x14ac:dyDescent="0.35">
      <c r="A41" s="64">
        <v>1</v>
      </c>
      <c r="B41" s="65" t="s">
        <v>16</v>
      </c>
      <c r="D41" s="66">
        <f>RAS!M41</f>
        <v>23</v>
      </c>
      <c r="E41" s="66">
        <f>RAS!Q41</f>
        <v>7</v>
      </c>
      <c r="F41" s="67">
        <f t="shared" si="8"/>
        <v>30</v>
      </c>
      <c r="H41" s="70">
        <f>(F41-1)*'AVG RAS salary'!$F$66</f>
        <v>2102243.6877339128</v>
      </c>
      <c r="I41" s="70">
        <f>(F41-1)*(VLOOKUP(B41,'FTE Allotment Factor'!$B$6:$D$63,3))</f>
        <v>2141789.9698359957</v>
      </c>
      <c r="J41" s="70">
        <f>(F41-1)*(VLOOKUP(B41,'FTE Allotment Factor'!$B$6:$H$63,7))</f>
        <v>2141789.9698359957</v>
      </c>
      <c r="K41" s="242">
        <f>VLOOKUP(A41,'CEO Salary'!$G$7:$H$13,2)</f>
        <v>139232.32088888885</v>
      </c>
      <c r="L41" s="242">
        <f t="shared" si="6"/>
        <v>141851.48472404582</v>
      </c>
      <c r="N41" s="84">
        <f>VLOOKUP(B41,BLS!$B$5:$I$64,8, FALSE)</f>
        <v>1.0188114643096924</v>
      </c>
      <c r="O41" s="89">
        <f t="shared" si="7"/>
        <v>2283641.4545600414</v>
      </c>
      <c r="Q41" s="86">
        <f>VLOOKUP(B41,'Program 10'!$A$7:$G$64,6)</f>
        <v>0.16700000000000009</v>
      </c>
      <c r="R41" s="8">
        <f>VLOOKUP(B41,'Program 10'!$A$7:$G$64,7)</f>
        <v>12268.472655999998</v>
      </c>
      <c r="S41" s="86">
        <f>VLOOKUP(B41,'Program 90'!$A$7:$G$64,6)</f>
        <v>0.16700000000000001</v>
      </c>
      <c r="T41" s="8">
        <f>VLOOKUP(B41,'Program 90'!$A$7:$G$64,7)</f>
        <v>11460.51852</v>
      </c>
      <c r="U41" s="71">
        <f>(D41*VLOOKUP(B41,'FTE Allotment Factor'!$B$7:$H$64,7,FALSE)*Q41)+(D41*R41)</f>
        <v>565851.25985145033</v>
      </c>
      <c r="V41" s="71">
        <f>((((E41-1)*VLOOKUP(B41,'FTE Allotment Factor'!$B$7:$H$64,7,FALSE))+(K41*N41))*S41)+(T41*E41)</f>
        <v>177915.36378807662</v>
      </c>
      <c r="W41" s="89">
        <f t="shared" si="9"/>
        <v>743766.62363952701</v>
      </c>
      <c r="Y41" s="89">
        <f>F41*(VLOOKUP(A41, 'OE&amp;E by Cluster'!$B$6:$C$9,2,FALSE))</f>
        <v>1123564.2494401825</v>
      </c>
      <c r="AA41" s="242">
        <f>'AB1058'!E39</f>
        <v>198026.90000000002</v>
      </c>
      <c r="AB41" s="89">
        <f t="shared" si="10"/>
        <v>3952945.4276397508</v>
      </c>
      <c r="AC41" s="90">
        <f t="shared" si="11"/>
        <v>1.4865159354848097E-3</v>
      </c>
      <c r="AD41" s="54">
        <f t="shared" si="5"/>
        <v>131764.84758799168</v>
      </c>
    </row>
    <row r="42" spans="1:30" ht="20.149999999999999" customHeight="1" x14ac:dyDescent="0.35">
      <c r="A42" s="64">
        <v>4</v>
      </c>
      <c r="B42" s="65" t="s">
        <v>58</v>
      </c>
      <c r="D42" s="66">
        <f>RAS!M42</f>
        <v>958</v>
      </c>
      <c r="E42" s="66">
        <f>RAS!Q42</f>
        <v>148</v>
      </c>
      <c r="F42" s="67">
        <f t="shared" si="8"/>
        <v>1106</v>
      </c>
      <c r="H42" s="70">
        <f>(F42-1)*'AVG RAS salary'!$F$66</f>
        <v>80102733.618826687</v>
      </c>
      <c r="I42" s="70">
        <f>(F42-1)*(VLOOKUP(B42,'FTE Allotment Factor'!$B$6:$D$63,3))</f>
        <v>89327860.040923238</v>
      </c>
      <c r="J42" s="70">
        <f>(F42-1)*(VLOOKUP(B42,'FTE Allotment Factor'!$B$6:$H$63,7))</f>
        <v>89327860.040923238</v>
      </c>
      <c r="K42" s="242">
        <f>VLOOKUP(A42,'CEO Salary'!$G$7:$H$13,2)</f>
        <v>290847.02558999998</v>
      </c>
      <c r="L42" s="242">
        <f t="shared" si="6"/>
        <v>324342.76861078356</v>
      </c>
      <c r="N42" s="84">
        <f>VLOOKUP(B42,BLS!$B$5:$I$64,8, FALSE)</f>
        <v>1.115166187286377</v>
      </c>
      <c r="O42" s="89">
        <f t="shared" si="7"/>
        <v>89652202.809534028</v>
      </c>
      <c r="Q42" s="86">
        <f>VLOOKUP(B42,'Program 10'!$A$7:$G$64,6)</f>
        <v>0.31986374613163682</v>
      </c>
      <c r="R42" s="8">
        <f>VLOOKUP(B42,'Program 10'!$A$7:$G$64,7)</f>
        <v>14251.119221800531</v>
      </c>
      <c r="S42" s="86">
        <f>VLOOKUP(B42,'Program 90'!$A$7:$G$64,6)</f>
        <v>0.35305586666009742</v>
      </c>
      <c r="T42" s="8">
        <f>VLOOKUP(B42,'Program 90'!$A$7:$G$64,7)</f>
        <v>15923.203788235296</v>
      </c>
      <c r="U42" s="71">
        <f>(D42*VLOOKUP(B42,'FTE Allotment Factor'!$B$7:$H$64,7,FALSE)*Q42)+(D42*R42)</f>
        <v>38424236.197158694</v>
      </c>
      <c r="V42" s="71">
        <f>((((E42-1)*VLOOKUP(B42,'FTE Allotment Factor'!$B$7:$H$64,7,FALSE))+(K42*N42))*S42)+(T42*E42)</f>
        <v>6666661.6411972102</v>
      </c>
      <c r="W42" s="89">
        <f t="shared" si="9"/>
        <v>45090897.838355906</v>
      </c>
      <c r="Y42" s="89">
        <f>F42*(VLOOKUP(A42, 'OE&amp;E by Cluster'!$B$6:$C$9,2,FALSE))</f>
        <v>21094977.65177564</v>
      </c>
      <c r="AA42" s="242">
        <f>'AB1058'!E40</f>
        <v>4048848.37</v>
      </c>
      <c r="AB42" s="89">
        <f t="shared" si="10"/>
        <v>151789229.92966557</v>
      </c>
      <c r="AC42" s="90">
        <f t="shared" si="11"/>
        <v>5.7080754909419662E-2</v>
      </c>
      <c r="AD42" s="54">
        <f t="shared" si="5"/>
        <v>137241.61838125277</v>
      </c>
    </row>
    <row r="43" spans="1:30" ht="20.149999999999999" customHeight="1" x14ac:dyDescent="0.35">
      <c r="A43" s="64">
        <v>4</v>
      </c>
      <c r="B43" s="65" t="s">
        <v>59</v>
      </c>
      <c r="D43" s="66">
        <f>RAS!M43</f>
        <v>974</v>
      </c>
      <c r="E43" s="66">
        <f>RAS!Q43</f>
        <v>151</v>
      </c>
      <c r="F43" s="67">
        <f t="shared" si="8"/>
        <v>1125</v>
      </c>
      <c r="H43" s="70">
        <f>(F43-1)*'AVG RAS salary'!$F$66</f>
        <v>81480065.690100625</v>
      </c>
      <c r="I43" s="70">
        <f>(F43-1)*(VLOOKUP(B43,'FTE Allotment Factor'!$B$6:$D$63,3))</f>
        <v>95156457.293241233</v>
      </c>
      <c r="J43" s="70">
        <f>(F43-1)*(VLOOKUP(B43,'FTE Allotment Factor'!$B$6:$H$63,7))</f>
        <v>95156457.293241233</v>
      </c>
      <c r="K43" s="242">
        <f>VLOOKUP(A43,'CEO Salary'!$G$7:$H$13,2)</f>
        <v>290847.02558999998</v>
      </c>
      <c r="L43" s="242">
        <f t="shared" si="6"/>
        <v>339665.56525228173</v>
      </c>
      <c r="N43" s="84">
        <f>VLOOKUP(B43,BLS!$B$5:$I$64,8, FALSE)</f>
        <v>1.1678495407104492</v>
      </c>
      <c r="O43" s="89">
        <f t="shared" si="7"/>
        <v>95496122.858493507</v>
      </c>
      <c r="Q43" s="86">
        <f>VLOOKUP(B43,'Program 10'!$A$7:$G$64,6)</f>
        <v>0.52760172649024928</v>
      </c>
      <c r="R43" s="8">
        <f>VLOOKUP(B43,'Program 10'!$A$7:$G$64,7)</f>
        <v>19308.842623737048</v>
      </c>
      <c r="S43" s="86">
        <f>VLOOKUP(B43,'Program 90'!$A$7:$G$64,6)</f>
        <v>0.53473860544132412</v>
      </c>
      <c r="T43" s="8">
        <f>VLOOKUP(B43,'Program 90'!$A$7:$G$64,7)</f>
        <v>19436.90737616106</v>
      </c>
      <c r="U43" s="71">
        <f>(D43*VLOOKUP(B43,'FTE Allotment Factor'!$B$7:$H$64,7,FALSE)*Q43)+(D43*R43)</f>
        <v>62311606.90109808</v>
      </c>
      <c r="V43" s="71">
        <f>((((E43-1)*VLOOKUP(B43,'FTE Allotment Factor'!$B$7:$H$64,7,FALSE))+(K43*N43))*S43)+(T43*E43)</f>
        <v>9907152.1823789738</v>
      </c>
      <c r="W43" s="89">
        <f t="shared" si="9"/>
        <v>72218759.08347705</v>
      </c>
      <c r="Y43" s="89">
        <f>F43*(VLOOKUP(A43, 'OE&amp;E by Cluster'!$B$6:$C$9,2,FALSE))</f>
        <v>21457368.768759124</v>
      </c>
      <c r="AA43" s="242">
        <f>'AB1058'!E41</f>
        <v>3969712</v>
      </c>
      <c r="AB43" s="89">
        <f t="shared" si="10"/>
        <v>185202538.71072969</v>
      </c>
      <c r="AC43" s="90">
        <f t="shared" si="11"/>
        <v>6.9645921029100513E-2</v>
      </c>
      <c r="AD43" s="54">
        <f t="shared" si="5"/>
        <v>164624.47885398194</v>
      </c>
    </row>
    <row r="44" spans="1:30" ht="20.149999999999999" customHeight="1" x14ac:dyDescent="0.35">
      <c r="A44" s="64">
        <v>3</v>
      </c>
      <c r="B44" s="65" t="s">
        <v>60</v>
      </c>
      <c r="D44" s="66">
        <f>RAS!M44</f>
        <v>236</v>
      </c>
      <c r="E44" s="66">
        <f>RAS!Q44</f>
        <v>38</v>
      </c>
      <c r="F44" s="67">
        <f t="shared" si="8"/>
        <v>274</v>
      </c>
      <c r="H44" s="70">
        <f>(F44-1)*'AVG RAS salary'!$F$66</f>
        <v>19790087.129357181</v>
      </c>
      <c r="I44" s="70">
        <f>(F44-1)*(VLOOKUP(B44,'FTE Allotment Factor'!$B$6:$D$63,3))</f>
        <v>32172949.83291515</v>
      </c>
      <c r="J44" s="70">
        <f>(F44-1)*(VLOOKUP(B44,'FTE Allotment Factor'!$B$6:$H$63,7))</f>
        <v>32172949.83291515</v>
      </c>
      <c r="K44" s="242">
        <f>VLOOKUP(A44,'CEO Salary'!$G$7:$H$13,2)</f>
        <v>199204.4966372918</v>
      </c>
      <c r="L44" s="242">
        <f t="shared" si="6"/>
        <v>323848.81556662859</v>
      </c>
      <c r="N44" s="84">
        <f>VLOOKUP(B44,BLS!$B$5:$I$64,8, FALSE)</f>
        <v>1.6257103681564331</v>
      </c>
      <c r="O44" s="89">
        <f t="shared" si="7"/>
        <v>32496798.648481779</v>
      </c>
      <c r="Q44" s="86">
        <f>VLOOKUP(B44,'Program 10'!$A$7:$G$64,6)</f>
        <v>0.26325019129367599</v>
      </c>
      <c r="R44" s="8">
        <f>VLOOKUP(B44,'Program 10'!$A$7:$G$64,7)</f>
        <v>27720.149870398014</v>
      </c>
      <c r="S44" s="86">
        <f>VLOOKUP(B44,'Program 90'!$A$7:$G$64,6)</f>
        <v>0.25951123759292621</v>
      </c>
      <c r="T44" s="8">
        <f>VLOOKUP(B44,'Program 90'!$A$7:$G$64,7)</f>
        <v>27735.047550974996</v>
      </c>
      <c r="U44" s="71">
        <f>(D44*VLOOKUP(B44,'FTE Allotment Factor'!$B$7:$H$64,7,FALSE)*Q44)+(D44*R44)</f>
        <v>13863604.844605263</v>
      </c>
      <c r="V44" s="71">
        <f>((((E44-1)*VLOOKUP(B44,'FTE Allotment Factor'!$B$7:$H$64,7,FALSE))+(K44*N44))*S44)+(T44*E44)</f>
        <v>2269556.4667578689</v>
      </c>
      <c r="W44" s="89">
        <f t="shared" si="9"/>
        <v>16133161.311363133</v>
      </c>
      <c r="Y44" s="89">
        <f>F44*(VLOOKUP(A44, 'OE&amp;E by Cluster'!$B$6:$C$9,2,FALSE))</f>
        <v>5226061.371235556</v>
      </c>
      <c r="AA44" s="242">
        <f>'AB1058'!E42</f>
        <v>1125825.48</v>
      </c>
      <c r="AB44" s="89">
        <f t="shared" si="10"/>
        <v>52730195.85108047</v>
      </c>
      <c r="AC44" s="90">
        <f t="shared" si="11"/>
        <v>1.9829334315062449E-2</v>
      </c>
      <c r="AD44" s="54">
        <f t="shared" si="5"/>
        <v>192445.97025941778</v>
      </c>
    </row>
    <row r="45" spans="1:30" ht="20.149999999999999" customHeight="1" x14ac:dyDescent="0.35">
      <c r="A45" s="64">
        <v>3</v>
      </c>
      <c r="B45" s="65" t="s">
        <v>45</v>
      </c>
      <c r="D45" s="66">
        <f>RAS!M45</f>
        <v>315</v>
      </c>
      <c r="E45" s="66">
        <f>RAS!Q45</f>
        <v>47</v>
      </c>
      <c r="F45" s="67">
        <f t="shared" si="8"/>
        <v>362</v>
      </c>
      <c r="H45" s="70">
        <f>(F45-1)*'AVG RAS salary'!$F$66</f>
        <v>26169309.354204915</v>
      </c>
      <c r="I45" s="70">
        <f>(F45-1)*(VLOOKUP(B45,'FTE Allotment Factor'!$B$6:$D$63,3))</f>
        <v>27155694.153301258</v>
      </c>
      <c r="J45" s="70">
        <f>(F45-1)*(VLOOKUP(B45,'FTE Allotment Factor'!$B$6:$H$63,7))</f>
        <v>27155694.153301258</v>
      </c>
      <c r="K45" s="242">
        <f>VLOOKUP(A45,'CEO Salary'!$G$7:$H$13,2)</f>
        <v>199204.4966372918</v>
      </c>
      <c r="L45" s="242">
        <f t="shared" si="6"/>
        <v>206712.99771139794</v>
      </c>
      <c r="N45" s="84">
        <f>VLOOKUP(B45,BLS!$B$5:$I$64,8, FALSE)</f>
        <v>1.0376924276351929</v>
      </c>
      <c r="O45" s="89">
        <f t="shared" si="7"/>
        <v>27362407.151012655</v>
      </c>
      <c r="Q45" s="86">
        <f>VLOOKUP(B45,'Program 10'!$A$7:$G$64,6)</f>
        <v>0.50301237552395828</v>
      </c>
      <c r="R45" s="8">
        <f>VLOOKUP(B45,'Program 10'!$A$7:$G$64,7)</f>
        <v>15581.733028856706</v>
      </c>
      <c r="S45" s="86">
        <f>VLOOKUP(B45,'Program 90'!$A$7:$G$64,6)</f>
        <v>0.54015804838226367</v>
      </c>
      <c r="T45" s="8">
        <f>VLOOKUP(B45,'Program 90'!$A$7:$G$64,7)</f>
        <v>13139.473986602274</v>
      </c>
      <c r="U45" s="71">
        <f>(D45*VLOOKUP(B45,'FTE Allotment Factor'!$B$7:$H$64,7,FALSE)*Q45)+(D45*R45)</f>
        <v>16827331.280522138</v>
      </c>
      <c r="V45" s="71">
        <f>((((E45-1)*VLOOKUP(B45,'FTE Allotment Factor'!$B$7:$H$64,7,FALSE))+(K45*N45))*S45)+(T45*E45)</f>
        <v>2598312.331859679</v>
      </c>
      <c r="W45" s="89">
        <f t="shared" si="9"/>
        <v>19425643.612381816</v>
      </c>
      <c r="Y45" s="89">
        <f>F45*(VLOOKUP(A45, 'OE&amp;E by Cluster'!$B$6:$C$9,2,FALSE))</f>
        <v>6904504.4393696031</v>
      </c>
      <c r="AA45" s="242">
        <f>'AB1058'!E43</f>
        <v>1029605.01</v>
      </c>
      <c r="AB45" s="89">
        <f t="shared" si="10"/>
        <v>52662950.192764081</v>
      </c>
      <c r="AC45" s="90">
        <f t="shared" si="11"/>
        <v>1.9804046401401786E-2</v>
      </c>
      <c r="AD45" s="54">
        <f t="shared" si="5"/>
        <v>145477.76296343669</v>
      </c>
    </row>
    <row r="46" spans="1:30" ht="20.149999999999999" customHeight="1" x14ac:dyDescent="0.35">
      <c r="A46" s="64">
        <v>2</v>
      </c>
      <c r="B46" s="65" t="s">
        <v>32</v>
      </c>
      <c r="D46" s="66">
        <f>RAS!M46</f>
        <v>114</v>
      </c>
      <c r="E46" s="66">
        <f>RAS!Q46</f>
        <v>23</v>
      </c>
      <c r="F46" s="67">
        <f t="shared" si="8"/>
        <v>137</v>
      </c>
      <c r="H46" s="70">
        <f>(F46-1)*'AVG RAS salary'!$F$66</f>
        <v>9858797.9838555921</v>
      </c>
      <c r="I46" s="70">
        <f>(F46-1)*(VLOOKUP(B46,'FTE Allotment Factor'!$B$6:$D$63,3))</f>
        <v>10209261.781613661</v>
      </c>
      <c r="J46" s="70">
        <f>(F46-1)*(VLOOKUP(B46,'FTE Allotment Factor'!$B$6:$H$63,7))</f>
        <v>10209261.781613661</v>
      </c>
      <c r="K46" s="242">
        <f>VLOOKUP(A46,'CEO Salary'!$G$7:$H$13,2)</f>
        <v>205599.94433590909</v>
      </c>
      <c r="L46" s="242">
        <f t="shared" si="6"/>
        <v>212908.67887218882</v>
      </c>
      <c r="N46" s="84">
        <f>VLOOKUP(B46,BLS!$B$5:$I$64,8, FALSE)</f>
        <v>1.0355483293533325</v>
      </c>
      <c r="O46" s="89">
        <f t="shared" si="7"/>
        <v>10422170.46048585</v>
      </c>
      <c r="Q46" s="86">
        <f>VLOOKUP(B46,'Program 10'!$A$7:$G$64,6)</f>
        <v>0.43831720184440059</v>
      </c>
      <c r="R46" s="8">
        <f>VLOOKUP(B46,'Program 10'!$A$7:$G$64,7)</f>
        <v>12962.281669403719</v>
      </c>
      <c r="S46" s="86">
        <f>VLOOKUP(B46,'Program 90'!$A$7:$G$64,6)</f>
        <v>0.46825113043876659</v>
      </c>
      <c r="T46" s="8">
        <f>VLOOKUP(B46,'Program 90'!$A$7:$G$64,7)</f>
        <v>12664.931599837497</v>
      </c>
      <c r="U46" s="71">
        <f>(D46*VLOOKUP(B46,'FTE Allotment Factor'!$B$7:$H$64,7,FALSE)*Q46)+(D46*R46)</f>
        <v>5228715.0845736582</v>
      </c>
      <c r="V46" s="71">
        <f>((((E46-1)*VLOOKUP(B46,'FTE Allotment Factor'!$B$7:$H$64,7,FALSE))+(K46*N46))*S46)+(T46*E46)</f>
        <v>1164304.0691825775</v>
      </c>
      <c r="W46" s="89">
        <f t="shared" si="9"/>
        <v>6393019.1537562357</v>
      </c>
      <c r="Y46" s="89">
        <f>F46*(VLOOKUP(A46, 'OE&amp;E by Cluster'!$B$6:$C$9,2,FALSE))</f>
        <v>2613030.685617778</v>
      </c>
      <c r="AA46" s="242">
        <f>'AB1058'!E44</f>
        <v>239317.89</v>
      </c>
      <c r="AB46" s="89">
        <f t="shared" si="10"/>
        <v>19188902.409859862</v>
      </c>
      <c r="AC46" s="90">
        <f t="shared" si="11"/>
        <v>7.2160392140174839E-3</v>
      </c>
      <c r="AD46" s="54">
        <f t="shared" si="5"/>
        <v>140064.98109386759</v>
      </c>
    </row>
    <row r="47" spans="1:30" ht="20.149999999999999" customHeight="1" x14ac:dyDescent="0.35">
      <c r="A47" s="64">
        <v>3</v>
      </c>
      <c r="B47" s="65" t="s">
        <v>46</v>
      </c>
      <c r="D47" s="66">
        <f>RAS!M47</f>
        <v>217</v>
      </c>
      <c r="E47" s="66">
        <f>RAS!Q47</f>
        <v>34</v>
      </c>
      <c r="F47" s="67">
        <f t="shared" si="8"/>
        <v>251</v>
      </c>
      <c r="H47" s="70">
        <f>(F47-1)*'AVG RAS salary'!$F$66</f>
        <v>18122790.411499251</v>
      </c>
      <c r="I47" s="70">
        <f>(F47-1)*(VLOOKUP(B47,'FTE Allotment Factor'!$B$6:$D$63,3))</f>
        <v>28167936.822195899</v>
      </c>
      <c r="J47" s="70">
        <f>(F47-1)*(VLOOKUP(B47,'FTE Allotment Factor'!$B$6:$H$63,7))</f>
        <v>28167936.822195899</v>
      </c>
      <c r="K47" s="242">
        <f>VLOOKUP(A47,'CEO Salary'!$G$7:$H$13,2)</f>
        <v>199204.4966372918</v>
      </c>
      <c r="L47" s="242">
        <f t="shared" si="6"/>
        <v>309620.07221670303</v>
      </c>
      <c r="N47" s="84">
        <f>VLOOKUP(B47,BLS!$B$5:$I$64,8, FALSE)</f>
        <v>1.554282546043396</v>
      </c>
      <c r="O47" s="89">
        <f t="shared" si="7"/>
        <v>28477556.894412603</v>
      </c>
      <c r="Q47" s="86">
        <f>VLOOKUP(B47,'Program 10'!$A$7:$G$64,6)</f>
        <v>0.43037081340629529</v>
      </c>
      <c r="R47" s="8">
        <f>VLOOKUP(B47,'Program 10'!$A$7:$G$64,7)</f>
        <v>18428.279250066134</v>
      </c>
      <c r="S47" s="86">
        <f>VLOOKUP(B47,'Program 90'!$A$7:$G$64,6)</f>
        <v>0.43303925041390084</v>
      </c>
      <c r="T47" s="8">
        <f>VLOOKUP(B47,'Program 90'!$A$7:$G$64,7)</f>
        <v>18523.423919607845</v>
      </c>
      <c r="U47" s="71">
        <f>(D47*VLOOKUP(B47,'FTE Allotment Factor'!$B$7:$H$64,7,FALSE)*Q47)+(D47*R47)</f>
        <v>14521403.638966719</v>
      </c>
      <c r="V47" s="71">
        <f>((((E47-1)*VLOOKUP(B47,'FTE Allotment Factor'!$B$7:$H$64,7,FALSE))+(K47*N47))*S47)+(T47*E47)</f>
        <v>2373986.5938815428</v>
      </c>
      <c r="W47" s="89">
        <f t="shared" si="9"/>
        <v>16895390.232848261</v>
      </c>
      <c r="Y47" s="89">
        <f>F47*(VLOOKUP(A47, 'OE&amp;E by Cluster'!$B$6:$C$9,2,FALSE))</f>
        <v>4787377.387518703</v>
      </c>
      <c r="AA47" s="242">
        <f>'AB1058'!E45</f>
        <v>708130.53</v>
      </c>
      <c r="AB47" s="89">
        <f t="shared" si="10"/>
        <v>49452193.984779567</v>
      </c>
      <c r="AC47" s="90">
        <f t="shared" si="11"/>
        <v>1.8596632751126434E-2</v>
      </c>
      <c r="AD47" s="54">
        <f t="shared" si="5"/>
        <v>197020.69316645246</v>
      </c>
    </row>
    <row r="48" spans="1:30" ht="20.149999999999999" customHeight="1" x14ac:dyDescent="0.35">
      <c r="A48" s="64">
        <v>3</v>
      </c>
      <c r="B48" s="65" t="s">
        <v>47</v>
      </c>
      <c r="D48" s="66">
        <f>RAS!M48</f>
        <v>158</v>
      </c>
      <c r="E48" s="66">
        <f>RAS!Q48</f>
        <v>26</v>
      </c>
      <c r="F48" s="67">
        <f t="shared" si="8"/>
        <v>184</v>
      </c>
      <c r="H48" s="70">
        <f>(F48-1)*'AVG RAS salary'!$F$66</f>
        <v>13265882.581217451</v>
      </c>
      <c r="I48" s="70">
        <f>(F48-1)*(VLOOKUP(B48,'FTE Allotment Factor'!$B$6:$D$63,3))</f>
        <v>16121664.478368986</v>
      </c>
      <c r="J48" s="70">
        <f>(F48-1)*(VLOOKUP(B48,'FTE Allotment Factor'!$B$6:$H$63,7))</f>
        <v>16121664.478368986</v>
      </c>
      <c r="K48" s="242">
        <f>VLOOKUP(A48,'CEO Salary'!$G$7:$H$13,2)</f>
        <v>199204.4966372918</v>
      </c>
      <c r="L48" s="242">
        <f t="shared" si="6"/>
        <v>242087.77951312694</v>
      </c>
      <c r="N48" s="84">
        <f>VLOOKUP(B48,BLS!$B$5:$I$64,8, FALSE)</f>
        <v>1.2152726650238037</v>
      </c>
      <c r="O48" s="89">
        <f t="shared" si="7"/>
        <v>16363752.257882113</v>
      </c>
      <c r="Q48" s="86">
        <f>VLOOKUP(B48,'Program 10'!$A$7:$G$64,6)</f>
        <v>0.43443478074878861</v>
      </c>
      <c r="R48" s="8">
        <f>VLOOKUP(B48,'Program 10'!$A$7:$G$64,7)</f>
        <v>11350.695612520367</v>
      </c>
      <c r="S48" s="86">
        <f>VLOOKUP(B48,'Program 90'!$A$7:$G$64,6)</f>
        <v>0.44314664938284393</v>
      </c>
      <c r="T48" s="8">
        <f>VLOOKUP(B48,'Program 90'!$A$7:$G$64,7)</f>
        <v>12897.420213686053</v>
      </c>
      <c r="U48" s="71">
        <f>(D48*VLOOKUP(B48,'FTE Allotment Factor'!$B$7:$H$64,7,FALSE)*Q48)+(D48*R48)</f>
        <v>7840416.7927268017</v>
      </c>
      <c r="V48" s="71">
        <f>((((E48-1)*VLOOKUP(B48,'FTE Allotment Factor'!$B$7:$H$64,7,FALSE))+(K48*N48))*S48)+(T48*E48)</f>
        <v>1418605.3352237805</v>
      </c>
      <c r="W48" s="89">
        <f t="shared" si="9"/>
        <v>9259022.1279505827</v>
      </c>
      <c r="Y48" s="89">
        <f>F48*(VLOOKUP(A48, 'OE&amp;E by Cluster'!$B$6:$C$9,2,FALSE))</f>
        <v>3509471.869734826</v>
      </c>
      <c r="AA48" s="242">
        <f>'AB1058'!E46</f>
        <v>710524.3899999999</v>
      </c>
      <c r="AB48" s="89">
        <f t="shared" si="10"/>
        <v>28421721.865567524</v>
      </c>
      <c r="AC48" s="90">
        <f t="shared" si="11"/>
        <v>1.0688066213023761E-2</v>
      </c>
      <c r="AD48" s="54">
        <f t="shared" si="5"/>
        <v>154465.87970417133</v>
      </c>
    </row>
    <row r="49" spans="1:30" ht="20.149999999999999" customHeight="1" x14ac:dyDescent="0.35">
      <c r="A49" s="64">
        <v>4</v>
      </c>
      <c r="B49" s="65" t="s">
        <v>61</v>
      </c>
      <c r="D49" s="66">
        <f>RAS!M49</f>
        <v>452</v>
      </c>
      <c r="E49" s="66">
        <f>RAS!Q49</f>
        <v>68</v>
      </c>
      <c r="F49" s="67">
        <f t="shared" si="8"/>
        <v>520</v>
      </c>
      <c r="H49" s="70">
        <f>(F49-1)*'AVG RAS salary'!$F$66</f>
        <v>37622912.894272439</v>
      </c>
      <c r="I49" s="70">
        <f>(F49-1)*(VLOOKUP(B49,'FTE Allotment Factor'!$B$6:$D$63,3))</f>
        <v>56397758.280556142</v>
      </c>
      <c r="J49" s="70">
        <f>(F49-1)*(VLOOKUP(B49,'FTE Allotment Factor'!$B$6:$H$63,7))</f>
        <v>56397758.280556142</v>
      </c>
      <c r="K49" s="242">
        <f>VLOOKUP(A49,'CEO Salary'!$G$7:$H$13,2)</f>
        <v>290847.02558999998</v>
      </c>
      <c r="L49" s="242">
        <f>IF(N49&lt;&gt;0,N49*K49,K49)</f>
        <v>435987.5135649236</v>
      </c>
      <c r="N49" s="84">
        <f>VLOOKUP(B49,BLS!$B$5:$I$64,8, FALSE)</f>
        <v>1.499026894569397</v>
      </c>
      <c r="O49" s="89">
        <f t="shared" si="7"/>
        <v>56833745.794121064</v>
      </c>
      <c r="Q49" s="86">
        <f>VLOOKUP(B49,'Program 10'!$A$7:$G$64,6)</f>
        <v>0.34959251889247528</v>
      </c>
      <c r="R49" s="8">
        <f>VLOOKUP(B49,'Program 10'!$A$7:$G$64,7)</f>
        <v>23200.449635803107</v>
      </c>
      <c r="S49" s="86">
        <f>VLOOKUP(B49,'Program 90'!$A$7:$G$64,6)</f>
        <v>0.34684250723160082</v>
      </c>
      <c r="T49" s="8">
        <f>VLOOKUP(B49,'Program 90'!$A$7:$G$64,7)</f>
        <v>23584.225728807378</v>
      </c>
      <c r="U49" s="71">
        <f>(D49*VLOOKUP(B49,'FTE Allotment Factor'!$B$7:$H$64,7,FALSE)*Q49)+(D49*R49)</f>
        <v>27657581.922260147</v>
      </c>
      <c r="V49" s="71">
        <f>((((E49-1)*VLOOKUP(B49,'FTE Allotment Factor'!$B$7:$H$64,7,FALSE))+(K49*N49))*S49)+(T49*E49)</f>
        <v>4280180.2097776877</v>
      </c>
      <c r="W49" s="89">
        <f t="shared" si="9"/>
        <v>31937762.132037833</v>
      </c>
      <c r="Y49" s="89">
        <f>F49*(VLOOKUP(A49, 'OE&amp;E by Cluster'!$B$6:$C$9,2,FALSE))</f>
        <v>9918072.6753375512</v>
      </c>
      <c r="AA49" s="242">
        <f>'AB1058'!E47</f>
        <v>1724556.5</v>
      </c>
      <c r="AB49" s="89">
        <f t="shared" si="10"/>
        <v>96965024.101496458</v>
      </c>
      <c r="AC49" s="90">
        <f t="shared" si="11"/>
        <v>3.6463962417413683E-2</v>
      </c>
      <c r="AD49" s="54">
        <f t="shared" si="5"/>
        <v>186471.20019518549</v>
      </c>
    </row>
    <row r="50" spans="1:30" ht="20.149999999999999" customHeight="1" x14ac:dyDescent="0.35">
      <c r="A50" s="64">
        <v>2</v>
      </c>
      <c r="B50" s="65" t="s">
        <v>33</v>
      </c>
      <c r="D50" s="66">
        <f>RAS!M50</f>
        <v>94</v>
      </c>
      <c r="E50" s="66">
        <f>RAS!Q50</f>
        <v>20</v>
      </c>
      <c r="F50" s="67">
        <f t="shared" si="8"/>
        <v>114</v>
      </c>
      <c r="H50" s="70">
        <f>(F50-1)*'AVG RAS salary'!$F$66</f>
        <v>8191501.2659976603</v>
      </c>
      <c r="I50" s="70">
        <f>(F50-1)*(VLOOKUP(B50,'FTE Allotment Factor'!$B$6:$D$63,3))</f>
        <v>9328251.3916742541</v>
      </c>
      <c r="J50" s="70">
        <f>(F50-1)*(VLOOKUP(B50,'FTE Allotment Factor'!$B$6:$H$63,7))</f>
        <v>9328251.3916742541</v>
      </c>
      <c r="K50" s="242">
        <f>VLOOKUP(A50,'CEO Salary'!$G$7:$H$13,2)</f>
        <v>205599.94433590909</v>
      </c>
      <c r="L50" s="242">
        <f t="shared" si="6"/>
        <v>234131.43752301057</v>
      </c>
      <c r="N50" s="84">
        <f>VLOOKUP(B50,BLS!$B$5:$I$64,8, FALSE)</f>
        <v>1.1387718915939331</v>
      </c>
      <c r="O50" s="89">
        <f t="shared" si="7"/>
        <v>9562382.8291972652</v>
      </c>
      <c r="Q50" s="86">
        <f>VLOOKUP(B50,'Program 10'!$A$7:$G$64,6)</f>
        <v>0.36304404627026021</v>
      </c>
      <c r="R50" s="8">
        <f>VLOOKUP(B50,'Program 10'!$A$7:$G$64,7)</f>
        <v>18655.082927957577</v>
      </c>
      <c r="S50" s="86">
        <f>VLOOKUP(B50,'Program 90'!$A$7:$G$64,6)</f>
        <v>0.36125738354019038</v>
      </c>
      <c r="T50" s="8">
        <f>VLOOKUP(B50,'Program 90'!$A$7:$G$64,7)</f>
        <v>22483.273090475213</v>
      </c>
      <c r="U50" s="71">
        <f>(D50*VLOOKUP(B50,'FTE Allotment Factor'!$B$7:$H$64,7,FALSE)*Q50)+(D50*R50)</f>
        <v>4570721.3014829066</v>
      </c>
      <c r="V50" s="71">
        <f>((((E50-1)*VLOOKUP(B50,'FTE Allotment Factor'!$B$7:$H$64,7,FALSE))+(K50*N50))*S50)+(T50*E50)</f>
        <v>1100867.4743199975</v>
      </c>
      <c r="W50" s="89">
        <f t="shared" si="9"/>
        <v>5671588.7758029038</v>
      </c>
      <c r="Y50" s="89">
        <f>F50*(VLOOKUP(A50, 'OE&amp;E by Cluster'!$B$6:$C$9,2,FALSE))</f>
        <v>2174346.7019009246</v>
      </c>
      <c r="AA50" s="242">
        <f>'AB1058'!E48</f>
        <v>316062.48</v>
      </c>
      <c r="AB50" s="89">
        <f t="shared" si="10"/>
        <v>17092255.826901093</v>
      </c>
      <c r="AC50" s="90">
        <f t="shared" si="11"/>
        <v>6.4275895342279701E-3</v>
      </c>
      <c r="AD50" s="54">
        <f t="shared" si="5"/>
        <v>149932.06865702712</v>
      </c>
    </row>
    <row r="51" spans="1:30" ht="20.149999999999999" customHeight="1" x14ac:dyDescent="0.35">
      <c r="A51" s="64">
        <v>2</v>
      </c>
      <c r="B51" s="65" t="s">
        <v>34</v>
      </c>
      <c r="D51" s="66">
        <f>RAS!M51</f>
        <v>119</v>
      </c>
      <c r="E51" s="66">
        <f>RAS!Q51</f>
        <v>32</v>
      </c>
      <c r="F51" s="67">
        <f t="shared" si="8"/>
        <v>151</v>
      </c>
      <c r="H51" s="70">
        <f>(F51-1)*'AVG RAS salary'!$F$66</f>
        <v>10873674.246899549</v>
      </c>
      <c r="I51" s="70">
        <f>(F51-1)*(VLOOKUP(B51,'FTE Allotment Factor'!$B$6:$D$63,3))</f>
        <v>9595382.9341746923</v>
      </c>
      <c r="J51" s="70">
        <f>(F51-1)*(VLOOKUP(B51,'FTE Allotment Factor'!$B$6:$H$63,7))</f>
        <v>9595382.9341746923</v>
      </c>
      <c r="K51" s="242">
        <f>VLOOKUP(A51,'CEO Salary'!$G$7:$H$13,2)</f>
        <v>205599.94433590909</v>
      </c>
      <c r="L51" s="242">
        <f t="shared" si="6"/>
        <v>181429.95204317101</v>
      </c>
      <c r="N51" s="84">
        <f>VLOOKUP(B51,BLS!$B$5:$I$64,8, FALSE)</f>
        <v>0.88244163990020752</v>
      </c>
      <c r="O51" s="89">
        <f t="shared" si="7"/>
        <v>9776812.8862178624</v>
      </c>
      <c r="Q51" s="86">
        <f>VLOOKUP(B51,'Program 10'!$A$7:$G$64,6)</f>
        <v>0.30868804165639813</v>
      </c>
      <c r="R51" s="8">
        <f>VLOOKUP(B51,'Program 10'!$A$7:$G$64,7)</f>
        <v>11377.079493168816</v>
      </c>
      <c r="S51" s="86">
        <f>VLOOKUP(B51,'Program 90'!$A$7:$G$64,6)</f>
        <v>0.33099309705108815</v>
      </c>
      <c r="T51" s="8">
        <f>VLOOKUP(B51,'Program 90'!$A$7:$G$64,7)</f>
        <v>14628.877826086959</v>
      </c>
      <c r="U51" s="71">
        <f>(D51*VLOOKUP(B51,'FTE Allotment Factor'!$B$7:$H$64,7,FALSE)*Q51)+(D51*R51)</f>
        <v>3703709.9000893524</v>
      </c>
      <c r="V51" s="71">
        <f>((((E51-1)*VLOOKUP(B51,'FTE Allotment Factor'!$B$7:$H$64,7,FALSE))+(K51*N51))*S51)+(T51*E51)</f>
        <v>1184550.6252126009</v>
      </c>
      <c r="W51" s="89">
        <f t="shared" si="9"/>
        <v>4888260.5253019538</v>
      </c>
      <c r="Y51" s="89">
        <f>F51*(VLOOKUP(A51, 'OE&amp;E by Cluster'!$B$6:$C$9,2,FALSE))</f>
        <v>2880055.7191845584</v>
      </c>
      <c r="AA51" s="242">
        <f>'AB1058'!E49</f>
        <v>482886.96</v>
      </c>
      <c r="AB51" s="89">
        <f t="shared" si="10"/>
        <v>17062242.170704372</v>
      </c>
      <c r="AC51" s="90">
        <f t="shared" si="11"/>
        <v>6.4163028167573402E-3</v>
      </c>
      <c r="AD51" s="54">
        <f t="shared" si="5"/>
        <v>112994.98126294286</v>
      </c>
    </row>
    <row r="52" spans="1:30" ht="20.149999999999999" customHeight="1" x14ac:dyDescent="0.35">
      <c r="A52" s="64">
        <v>1</v>
      </c>
      <c r="B52" s="65" t="s">
        <v>17</v>
      </c>
      <c r="D52" s="66">
        <f>RAS!M52</f>
        <v>2</v>
      </c>
      <c r="E52" s="66">
        <f>RAS!Q52</f>
        <v>1</v>
      </c>
      <c r="F52" s="67">
        <f t="shared" si="8"/>
        <v>3</v>
      </c>
      <c r="H52" s="70">
        <f>(F52-1)*'AVG RAS salary'!$F$66</f>
        <v>144982.32329199399</v>
      </c>
      <c r="I52" s="70">
        <f>(F52-1)*(VLOOKUP(B52,'FTE Allotment Factor'!$B$6:$D$63,3))</f>
        <v>90173.125744252669</v>
      </c>
      <c r="J52" s="70">
        <f>(F52-1)*(VLOOKUP(B52,'FTE Allotment Factor'!$B$6:$H$63,7))</f>
        <v>110739.86995683878</v>
      </c>
      <c r="K52" s="242">
        <f>VLOOKUP(A52,'CEO Salary'!$G$7:$H$13,2)</f>
        <v>139232.32088888885</v>
      </c>
      <c r="L52" s="242">
        <f>IF(N52&lt;&gt;0,N52*K52,K52)</f>
        <v>86596.857424419592</v>
      </c>
      <c r="N52" s="84">
        <f>VLOOKUP(B52,BLS!$B$5:$I$64,8, FALSE)</f>
        <v>0.62195944786071777</v>
      </c>
      <c r="O52" s="89">
        <f t="shared" si="7"/>
        <v>197336.72738125839</v>
      </c>
      <c r="Q52" s="86">
        <f>VLOOKUP(B52,'Program 10'!$A$7:$G$64,6)</f>
        <v>0.3171400864724635</v>
      </c>
      <c r="R52" s="8">
        <f>VLOOKUP(B52,'Program 10'!$A$7:$G$64,7)</f>
        <v>21406.512402942149</v>
      </c>
      <c r="S52" s="86">
        <f>VLOOKUP(B52,'Program 90'!$A$7:$G$64,6)</f>
        <v>0.37320000000000003</v>
      </c>
      <c r="T52" s="8">
        <f>VLOOKUP(B52,'Program 90'!$A$7:$G$64,7)</f>
        <v>27061.674215999996</v>
      </c>
      <c r="U52" s="71">
        <f>(D52*VLOOKUP(B52,'FTE Allotment Factor'!$B$7:$H$64,7,FALSE)*Q52)+(D52*R52)</f>
        <v>77933.076739945507</v>
      </c>
      <c r="V52" s="71">
        <f>((((E52-1)*VLOOKUP(B52,'FTE Allotment Factor'!$B$7:$H$64,7,FALSE))+(K52*N52))*S52)+(T52*E52)</f>
        <v>59379.621406793391</v>
      </c>
      <c r="W52" s="89">
        <f t="shared" si="9"/>
        <v>137312.6981467389</v>
      </c>
      <c r="Y52" s="89">
        <f>F52*(VLOOKUP(A52, 'OE&amp;E by Cluster'!$B$6:$C$9,2,FALSE))</f>
        <v>112356.42494401825</v>
      </c>
      <c r="AA52" s="242">
        <f>'AB1058'!E50</f>
        <v>0</v>
      </c>
      <c r="AB52" s="89">
        <f t="shared" si="10"/>
        <v>447005.85047201556</v>
      </c>
      <c r="AC52" s="90">
        <f t="shared" si="11"/>
        <v>1.6809777219169551E-4</v>
      </c>
      <c r="AD52" s="54">
        <f t="shared" si="5"/>
        <v>149001.95015733852</v>
      </c>
    </row>
    <row r="53" spans="1:30" ht="20.149999999999999" customHeight="1" x14ac:dyDescent="0.35">
      <c r="A53" s="64">
        <v>2</v>
      </c>
      <c r="B53" s="65" t="s">
        <v>35</v>
      </c>
      <c r="D53" s="66">
        <f>RAS!M53</f>
        <v>31</v>
      </c>
      <c r="E53" s="66">
        <f>RAS!Q53</f>
        <v>7</v>
      </c>
      <c r="F53" s="67">
        <f t="shared" si="8"/>
        <v>38</v>
      </c>
      <c r="H53" s="70">
        <f>(F53-1)*'AVG RAS salary'!$F$66</f>
        <v>2682172.980901889</v>
      </c>
      <c r="I53" s="70">
        <f>(F53-1)*(VLOOKUP(B53,'FTE Allotment Factor'!$B$6:$D$63,3))</f>
        <v>1843773.6235544854</v>
      </c>
      <c r="J53" s="70">
        <f>(F53-1)*(VLOOKUP(B53,'FTE Allotment Factor'!$B$6:$H$63,7))</f>
        <v>2048687.5942015175</v>
      </c>
      <c r="K53" s="242">
        <f>VLOOKUP(A53,'CEO Salary'!$G$7:$H$13,2)</f>
        <v>205599.94433590909</v>
      </c>
      <c r="L53" s="242">
        <f>IF(N53&lt;&gt;0,N53*K53,K53)</f>
        <v>141333.07473828658</v>
      </c>
      <c r="N53" s="84">
        <f>VLOOKUP(B53,BLS!$B$5:$I$64,8, FALSE)</f>
        <v>0.68741786479949951</v>
      </c>
      <c r="O53" s="89">
        <f t="shared" si="7"/>
        <v>2190020.6689398042</v>
      </c>
      <c r="Q53" s="86">
        <f>VLOOKUP(B53,'Program 10'!$A$7:$G$64,6)</f>
        <v>0.46139999999999998</v>
      </c>
      <c r="R53" s="8">
        <f>VLOOKUP(B53,'Program 10'!$A$7:$G$64,7)</f>
        <v>27304.34747519813</v>
      </c>
      <c r="S53" s="86">
        <f>VLOOKUP(B53,'Program 90'!$A$7:$G$64,6)</f>
        <v>0.46140000000000003</v>
      </c>
      <c r="T53" s="8">
        <f>VLOOKUP(B53,'Program 90'!$A$7:$G$64,7)</f>
        <v>23872.075604444446</v>
      </c>
      <c r="U53" s="71">
        <f>(D53*VLOOKUP(B53,'FTE Allotment Factor'!$B$7:$H$64,7,FALSE)*Q53)+(D53*R53)</f>
        <v>1638413.099701466</v>
      </c>
      <c r="V53" s="71">
        <f>((((E53-1)*VLOOKUP(B53,'FTE Allotment Factor'!$B$7:$H$64,7,FALSE))+(K53*N53))*S53)+(T53*E53)</f>
        <v>385601.73790961277</v>
      </c>
      <c r="W53" s="89">
        <f t="shared" si="9"/>
        <v>2024014.8376110788</v>
      </c>
      <c r="Y53" s="89">
        <f>F53*(VLOOKUP(A53, 'OE&amp;E by Cluster'!$B$6:$C$9,2,FALSE))</f>
        <v>724782.23396697489</v>
      </c>
      <c r="AA53" s="242">
        <f>'AB1058'!E51</f>
        <v>154198.92000000001</v>
      </c>
      <c r="AB53" s="89">
        <f t="shared" si="10"/>
        <v>4784618.8205178576</v>
      </c>
      <c r="AC53" s="90">
        <f t="shared" si="11"/>
        <v>1.7992689886860021E-3</v>
      </c>
      <c r="AD53" s="54">
        <f t="shared" si="5"/>
        <v>125911.0215925752</v>
      </c>
    </row>
    <row r="54" spans="1:30" ht="20.149999999999999" customHeight="1" x14ac:dyDescent="0.35">
      <c r="A54" s="64">
        <v>3</v>
      </c>
      <c r="B54" s="65" t="s">
        <v>48</v>
      </c>
      <c r="D54" s="66">
        <f>RAS!M54</f>
        <v>163</v>
      </c>
      <c r="E54" s="66">
        <f>RAS!Q54</f>
        <v>24</v>
      </c>
      <c r="F54" s="67">
        <f t="shared" si="8"/>
        <v>187</v>
      </c>
      <c r="H54" s="70">
        <f>(F54-1)*'AVG RAS salary'!$F$66</f>
        <v>13483356.066155441</v>
      </c>
      <c r="I54" s="70">
        <f>(F54-1)*(VLOOKUP(B54,'FTE Allotment Factor'!$B$6:$D$63,3))</f>
        <v>16225359.768933807</v>
      </c>
      <c r="J54" s="70">
        <f>(F54-1)*(VLOOKUP(B54,'FTE Allotment Factor'!$B$6:$H$63,7))</f>
        <v>16225359.768933807</v>
      </c>
      <c r="K54" s="242">
        <f>VLOOKUP(A54,'CEO Salary'!$G$7:$H$13,2)</f>
        <v>199204.4966372918</v>
      </c>
      <c r="L54" s="242">
        <f t="shared" ref="L54:L58" si="12">IF(N54&lt;&gt;0,N54*K54,K54)</f>
        <v>239715.14285248888</v>
      </c>
      <c r="N54" s="84">
        <f>VLOOKUP(B54,BLS!$B$5:$I$64,8, FALSE)</f>
        <v>1.2033621072769165</v>
      </c>
      <c r="O54" s="89">
        <f t="shared" si="7"/>
        <v>16465074.911786295</v>
      </c>
      <c r="Q54" s="86">
        <f>VLOOKUP(B54,'Program 10'!$A$7:$G$64,6)</f>
        <v>0.50966009560844072</v>
      </c>
      <c r="R54" s="8">
        <f>VLOOKUP(B54,'Program 10'!$A$7:$G$64,7)</f>
        <v>18687.130068571434</v>
      </c>
      <c r="S54" s="86">
        <f>VLOOKUP(B54,'Program 90'!$A$7:$G$64,6)</f>
        <v>0.50968969280809684</v>
      </c>
      <c r="T54" s="8">
        <f>VLOOKUP(B54,'Program 90'!$A$7:$G$64,7)</f>
        <v>23395.160666666667</v>
      </c>
      <c r="U54" s="71">
        <f>(D54*VLOOKUP(B54,'FTE Allotment Factor'!$B$7:$H$64,7,FALSE)*Q54)+(D54*R54)</f>
        <v>10292858.120596137</v>
      </c>
      <c r="V54" s="71">
        <f>((((E54-1)*VLOOKUP(B54,'FTE Allotment Factor'!$B$7:$H$64,7,FALSE))+(K54*N54))*S54)+(T54*E54)</f>
        <v>1706286.0679066689</v>
      </c>
      <c r="W54" s="89">
        <f t="shared" si="9"/>
        <v>11999144.188502805</v>
      </c>
      <c r="Y54" s="89">
        <f>F54*(VLOOKUP(A54, 'OE&amp;E by Cluster'!$B$6:$C$9,2,FALSE))</f>
        <v>3566691.5197848501</v>
      </c>
      <c r="AA54" s="242">
        <f>'AB1058'!E52</f>
        <v>705850.28</v>
      </c>
      <c r="AB54" s="89">
        <f t="shared" si="10"/>
        <v>31325060.340073947</v>
      </c>
      <c r="AC54" s="90">
        <f t="shared" si="11"/>
        <v>1.1779874584139295E-2</v>
      </c>
      <c r="AD54" s="54">
        <f t="shared" si="5"/>
        <v>167513.69165814944</v>
      </c>
    </row>
    <row r="55" spans="1:30" ht="20.149999999999999" customHeight="1" x14ac:dyDescent="0.35">
      <c r="A55" s="64">
        <v>3</v>
      </c>
      <c r="B55" s="65" t="s">
        <v>49</v>
      </c>
      <c r="D55" s="66">
        <f>RAS!M55</f>
        <v>163</v>
      </c>
      <c r="E55" s="66">
        <f>RAS!Q55</f>
        <v>25</v>
      </c>
      <c r="F55" s="67">
        <f t="shared" si="8"/>
        <v>188</v>
      </c>
      <c r="H55" s="70">
        <f>(F55-1)*'AVG RAS salary'!$F$66</f>
        <v>13555847.227801438</v>
      </c>
      <c r="I55" s="70">
        <f>(F55-1)*(VLOOKUP(B55,'FTE Allotment Factor'!$B$6:$D$63,3))</f>
        <v>16431416.109879062</v>
      </c>
      <c r="J55" s="70">
        <f>(F55-1)*(VLOOKUP(B55,'FTE Allotment Factor'!$B$6:$H$63,7))</f>
        <v>16431416.109879062</v>
      </c>
      <c r="K55" s="242">
        <f>VLOOKUP(A55,'CEO Salary'!$G$7:$H$13,2)</f>
        <v>199204.4966372918</v>
      </c>
      <c r="L55" s="242">
        <f t="shared" si="12"/>
        <v>241461.26171246424</v>
      </c>
      <c r="N55" s="84">
        <f>VLOOKUP(B55,BLS!$B$5:$I$64,8, FALSE)</f>
        <v>1.2121275663375854</v>
      </c>
      <c r="O55" s="89">
        <f t="shared" si="7"/>
        <v>16672877.371591525</v>
      </c>
      <c r="Q55" s="86">
        <f>VLOOKUP(B55,'Program 10'!$A$7:$G$64,6)</f>
        <v>0.39380983267106839</v>
      </c>
      <c r="R55" s="8">
        <f>VLOOKUP(B55,'Program 10'!$A$7:$G$64,7)</f>
        <v>22600.224061417783</v>
      </c>
      <c r="S55" s="86">
        <f>VLOOKUP(B55,'Program 90'!$A$7:$G$64,6)</f>
        <v>0.39406695425226923</v>
      </c>
      <c r="T55" s="8">
        <f>VLOOKUP(B55,'Program 90'!$A$7:$G$64,7)</f>
        <v>23500.2236290445</v>
      </c>
      <c r="U55" s="71">
        <f>(D55*VLOOKUP(B55,'FTE Allotment Factor'!$B$7:$H$64,7,FALSE)*Q55)+(D55*R55)</f>
        <v>9324205.9139424786</v>
      </c>
      <c r="V55" s="71">
        <f>((((E55-1)*VLOOKUP(B55,'FTE Allotment Factor'!$B$7:$H$64,7,FALSE))+(K55*N55))*S55)+(T55*E55)</f>
        <v>1513683.5610697542</v>
      </c>
      <c r="W55" s="89">
        <f t="shared" si="9"/>
        <v>10837889.475012233</v>
      </c>
      <c r="Y55" s="89">
        <f>F55*(VLOOKUP(A55, 'OE&amp;E by Cluster'!$B$6:$C$9,2,FALSE))</f>
        <v>3585764.7364681917</v>
      </c>
      <c r="AA55" s="242">
        <f>'AB1058'!E53</f>
        <v>477543.69</v>
      </c>
      <c r="AB55" s="89">
        <f t="shared" si="10"/>
        <v>30618987.893071949</v>
      </c>
      <c r="AC55" s="90">
        <f t="shared" si="11"/>
        <v>1.1514354110029964E-2</v>
      </c>
      <c r="AD55" s="54">
        <f t="shared" si="5"/>
        <v>162866.95687804229</v>
      </c>
    </row>
    <row r="56" spans="1:30" ht="20.149999999999999" customHeight="1" x14ac:dyDescent="0.35">
      <c r="A56" s="64">
        <v>3</v>
      </c>
      <c r="B56" s="65" t="s">
        <v>50</v>
      </c>
      <c r="D56" s="66">
        <f>RAS!M56</f>
        <v>223</v>
      </c>
      <c r="E56" s="66">
        <f>RAS!Q56</f>
        <v>33</v>
      </c>
      <c r="F56" s="67">
        <f t="shared" si="8"/>
        <v>256</v>
      </c>
      <c r="H56" s="70">
        <f>(F56-1)*'AVG RAS salary'!$F$66</f>
        <v>18485246.219729234</v>
      </c>
      <c r="I56" s="70">
        <f>(F56-1)*(VLOOKUP(B56,'FTE Allotment Factor'!$B$6:$D$63,3))</f>
        <v>19086453.566125236</v>
      </c>
      <c r="J56" s="70">
        <f>(F56-1)*(VLOOKUP(B56,'FTE Allotment Factor'!$B$6:$H$63,7))</f>
        <v>19086453.566125236</v>
      </c>
      <c r="K56" s="242">
        <f>VLOOKUP(A56,'CEO Salary'!$G$7:$H$13,2)</f>
        <v>199204.4966372918</v>
      </c>
      <c r="L56" s="242">
        <f t="shared" si="12"/>
        <v>205683.350388541</v>
      </c>
      <c r="N56" s="84">
        <f>VLOOKUP(B56,BLS!$B$5:$I$64,8, FALSE)</f>
        <v>1.0325236320495605</v>
      </c>
      <c r="O56" s="89">
        <f t="shared" si="7"/>
        <v>19292136.916513778</v>
      </c>
      <c r="Q56" s="86">
        <f>VLOOKUP(B56,'Program 10'!$A$7:$G$64,6)</f>
        <v>0.35079573726909524</v>
      </c>
      <c r="R56" s="8">
        <f>VLOOKUP(B56,'Program 10'!$A$7:$G$64,7)</f>
        <v>18394.772133717343</v>
      </c>
      <c r="S56" s="86">
        <f>VLOOKUP(B56,'Program 90'!$A$7:$G$64,6)</f>
        <v>0.35042960609179297</v>
      </c>
      <c r="T56" s="8">
        <f>VLOOKUP(B56,'Program 90'!$A$7:$G$64,7)</f>
        <v>19862.077845737393</v>
      </c>
      <c r="U56" s="71">
        <f>(D56*VLOOKUP(B56,'FTE Allotment Factor'!$B$7:$H$64,7,FALSE)*Q56)+(D56*R56)</f>
        <v>9957267.8359351233</v>
      </c>
      <c r="V56" s="71">
        <f>((((E56-1)*VLOOKUP(B56,'FTE Allotment Factor'!$B$7:$H$64,7,FALSE))+(K56*N56))*S56)+(T56*E56)</f>
        <v>1566862.061054768</v>
      </c>
      <c r="W56" s="89">
        <f t="shared" si="9"/>
        <v>11524129.896989891</v>
      </c>
      <c r="Y56" s="89">
        <f>F56*(VLOOKUP(A56, 'OE&amp;E by Cluster'!$B$6:$C$9,2,FALSE))</f>
        <v>4882743.4709354099</v>
      </c>
      <c r="AA56" s="242">
        <f>'AB1058'!E54</f>
        <v>1229881.2999999998</v>
      </c>
      <c r="AB56" s="89">
        <f t="shared" si="10"/>
        <v>34469128.984439082</v>
      </c>
      <c r="AC56" s="90">
        <f t="shared" si="11"/>
        <v>1.2962210193790629E-2</v>
      </c>
      <c r="AD56" s="54">
        <f t="shared" si="5"/>
        <v>134645.03509546517</v>
      </c>
    </row>
    <row r="57" spans="1:30" ht="20.149999999999999" customHeight="1" x14ac:dyDescent="0.35">
      <c r="A57" s="64">
        <v>2</v>
      </c>
      <c r="B57" s="65" t="s">
        <v>36</v>
      </c>
      <c r="D57" s="66">
        <f>RAS!M57</f>
        <v>55</v>
      </c>
      <c r="E57" s="66">
        <f>RAS!Q57</f>
        <v>11</v>
      </c>
      <c r="F57" s="67">
        <f t="shared" si="8"/>
        <v>66</v>
      </c>
      <c r="H57" s="70">
        <f>(F57-1)*'AVG RAS salary'!$F$66</f>
        <v>4711925.506989805</v>
      </c>
      <c r="I57" s="70">
        <f>(F57-1)*(VLOOKUP(B57,'FTE Allotment Factor'!$B$6:$D$63,3))</f>
        <v>4448337.7156483438</v>
      </c>
      <c r="J57" s="70">
        <f>(F57-1)*(VLOOKUP(B57,'FTE Allotment Factor'!$B$6:$H$63,7))</f>
        <v>4448337.7156483438</v>
      </c>
      <c r="K57" s="242">
        <f>VLOOKUP(A57,'CEO Salary'!$G$7:$H$13,2)</f>
        <v>205599.94433590909</v>
      </c>
      <c r="L57" s="242">
        <f t="shared" si="12"/>
        <v>194098.56657706355</v>
      </c>
      <c r="N57" s="84">
        <f>VLOOKUP(B57,BLS!$B$5:$I$64,8, FALSE)</f>
        <v>0.94405943155288696</v>
      </c>
      <c r="O57" s="89">
        <f t="shared" si="7"/>
        <v>4642436.2822254077</v>
      </c>
      <c r="Q57" s="86">
        <f>VLOOKUP(B57,'Program 10'!$A$7:$G$64,6)</f>
        <v>0.40791994202959825</v>
      </c>
      <c r="R57" s="8">
        <f>VLOOKUP(B57,'Program 10'!$A$7:$G$64,7)</f>
        <v>23771.945495978547</v>
      </c>
      <c r="S57" s="86">
        <f>VLOOKUP(B57,'Program 90'!$A$7:$G$64,6)</f>
        <v>0.42030081504834749</v>
      </c>
      <c r="T57" s="8">
        <f>VLOOKUP(B57,'Program 90'!$A$7:$G$64,7)</f>
        <v>25581.445714285717</v>
      </c>
      <c r="U57" s="71">
        <f>(D57*VLOOKUP(B57,'FTE Allotment Factor'!$B$7:$H$64,7,FALSE)*Q57)+(D57*R57)</f>
        <v>2842858.717205653</v>
      </c>
      <c r="V57" s="71">
        <f>((((E57-1)*VLOOKUP(B57,'FTE Allotment Factor'!$B$7:$H$64,7,FALSE))+(K57*N57))*S57)+(T57*E57)</f>
        <v>650612.60666570684</v>
      </c>
      <c r="W57" s="89">
        <f t="shared" si="9"/>
        <v>3493471.3238713597</v>
      </c>
      <c r="Y57" s="89">
        <f>F57*(VLOOKUP(A57, 'OE&amp;E by Cluster'!$B$6:$C$9,2,FALSE))</f>
        <v>1258832.3011005353</v>
      </c>
      <c r="AA57" s="242">
        <f>'AB1058'!E55</f>
        <v>243372.95</v>
      </c>
      <c r="AB57" s="89">
        <f t="shared" si="10"/>
        <v>9151366.957197303</v>
      </c>
      <c r="AC57" s="90">
        <f t="shared" si="11"/>
        <v>3.4413965642489225E-3</v>
      </c>
      <c r="AD57" s="54">
        <f t="shared" si="5"/>
        <v>138657.07510905006</v>
      </c>
    </row>
    <row r="58" spans="1:30" ht="20.149999999999999" customHeight="1" x14ac:dyDescent="0.35">
      <c r="A58" s="64">
        <v>2</v>
      </c>
      <c r="B58" s="65" t="s">
        <v>37</v>
      </c>
      <c r="D58" s="66">
        <f>RAS!M58</f>
        <v>45</v>
      </c>
      <c r="E58" s="66">
        <f>RAS!Q58</f>
        <v>9</v>
      </c>
      <c r="F58" s="67">
        <f t="shared" si="8"/>
        <v>54</v>
      </c>
      <c r="H58" s="70">
        <f>(F58-1)*'AVG RAS salary'!$F$66</f>
        <v>3842031.567237841</v>
      </c>
      <c r="I58" s="70">
        <f>(F58-1)*(VLOOKUP(B58,'FTE Allotment Factor'!$B$6:$D$63,3))</f>
        <v>2865883.6915409421</v>
      </c>
      <c r="J58" s="70">
        <f>(F58-1)*(VLOOKUP(B58,'FTE Allotment Factor'!$B$6:$H$63,7))</f>
        <v>2865883.6915409421</v>
      </c>
      <c r="K58" s="242">
        <f>VLOOKUP(A58,'CEO Salary'!$G$7:$H$13,2)</f>
        <v>205599.94433590909</v>
      </c>
      <c r="L58" s="242">
        <f t="shared" si="12"/>
        <v>153363.01046522125</v>
      </c>
      <c r="N58" s="84">
        <f>VLOOKUP(B58,BLS!$B$5:$I$64,8, FALSE)</f>
        <v>0.74592924118041992</v>
      </c>
      <c r="O58" s="89">
        <f t="shared" si="7"/>
        <v>3019246.7020061631</v>
      </c>
      <c r="Q58" s="86">
        <f>VLOOKUP(B58,'Program 10'!$A$7:$G$64,6)</f>
        <v>0.39326288995372405</v>
      </c>
      <c r="R58" s="8">
        <f>VLOOKUP(B58,'Program 10'!$A$7:$G$64,7)</f>
        <v>21785.62632507375</v>
      </c>
      <c r="S58" s="86">
        <f>VLOOKUP(B58,'Program 90'!$A$7:$G$64,6)</f>
        <v>0.39355575433555978</v>
      </c>
      <c r="T58" s="8">
        <f>VLOOKUP(B58,'Program 90'!$A$7:$G$64,7)</f>
        <v>21976.308000000001</v>
      </c>
      <c r="U58" s="71">
        <f>(D58*VLOOKUP(B58,'FTE Allotment Factor'!$B$7:$H$64,7,FALSE)*Q58)+(D58*R58)</f>
        <v>1937278.7813509358</v>
      </c>
      <c r="V58" s="71">
        <f>((((E58-1)*VLOOKUP(B58,'FTE Allotment Factor'!$B$7:$H$64,7,FALSE))+(K58*N58))*S58)+(T58*E58)</f>
        <v>428390.46245003876</v>
      </c>
      <c r="W58" s="89">
        <f t="shared" si="9"/>
        <v>2365669.2438009745</v>
      </c>
      <c r="Y58" s="89">
        <f>F58*(VLOOKUP(A58, 'OE&amp;E by Cluster'!$B$6:$C$9,2,FALSE))</f>
        <v>1029953.700900438</v>
      </c>
      <c r="AA58" s="242">
        <f>'AB1058'!E56</f>
        <v>31224.639999999999</v>
      </c>
      <c r="AB58" s="89">
        <f t="shared" si="10"/>
        <v>6383645.0067075761</v>
      </c>
      <c r="AC58" s="90">
        <f t="shared" si="11"/>
        <v>2.4005871577677789E-3</v>
      </c>
      <c r="AD58" s="54">
        <f t="shared" si="5"/>
        <v>118215.64827236252</v>
      </c>
    </row>
    <row r="59" spans="1:30" ht="20.149999999999999" customHeight="1" x14ac:dyDescent="0.35">
      <c r="A59" s="64">
        <v>1</v>
      </c>
      <c r="B59" s="65" t="s">
        <v>18</v>
      </c>
      <c r="D59" s="66">
        <f>RAS!M59</f>
        <v>11</v>
      </c>
      <c r="E59" s="66">
        <f>RAS!Q59</f>
        <v>5</v>
      </c>
      <c r="F59" s="67">
        <f t="shared" si="8"/>
        <v>16</v>
      </c>
      <c r="H59" s="70">
        <f>(F59-1)*'AVG RAS salary'!$F$66</f>
        <v>1087367.4246899548</v>
      </c>
      <c r="I59" s="70">
        <f>(F59-1)*(VLOOKUP(B59,'FTE Allotment Factor'!$B$6:$D$63,3))</f>
        <v>759210.94029554573</v>
      </c>
      <c r="J59" s="70">
        <f>(F59-1)*(VLOOKUP(B59,'FTE Allotment Factor'!$B$6:$H$63,7))</f>
        <v>830549.02467629081</v>
      </c>
      <c r="K59" s="242">
        <f>VLOOKUP(A59,'CEO Salary'!$G$7:$H$13,2)</f>
        <v>139232.32088888885</v>
      </c>
      <c r="L59" s="242">
        <f>IF(N59&lt;&gt;0,N59*K59,K59)</f>
        <v>97213.415503710712</v>
      </c>
      <c r="N59" s="84">
        <f>VLOOKUP(B59,BLS!$B$5:$I$64,8, FALSE)</f>
        <v>0.69821012020111084</v>
      </c>
      <c r="O59" s="89">
        <f t="shared" si="7"/>
        <v>927762.44018000155</v>
      </c>
      <c r="Q59" s="86">
        <f>VLOOKUP(B59,'Program 10'!$A$7:$G$64,6)</f>
        <v>0.4607556027131306</v>
      </c>
      <c r="R59" s="8">
        <f>VLOOKUP(B59,'Program 10'!$A$7:$G$64,7)</f>
        <v>10767.973890339425</v>
      </c>
      <c r="S59" s="86">
        <f>VLOOKUP(B59,'Program 90'!$A$7:$G$64,6)</f>
        <v>0.49900000000000005</v>
      </c>
      <c r="T59" s="8">
        <f>VLOOKUP(B59,'Program 90'!$A$7:$G$64,7)</f>
        <v>11357</v>
      </c>
      <c r="U59" s="71">
        <f>(D59*VLOOKUP(B59,'FTE Allotment Factor'!$B$7:$H$64,7,FALSE)*Q59)+(D59*R59)</f>
        <v>399079.79818858695</v>
      </c>
      <c r="V59" s="71">
        <f>((((E59-1)*VLOOKUP(B59,'FTE Allotment Factor'!$B$7:$H$64,7,FALSE))+(K59*N59))*S59)+(T59*E59)</f>
        <v>215812.88455327679</v>
      </c>
      <c r="W59" s="89">
        <f t="shared" si="9"/>
        <v>614892.68274186377</v>
      </c>
      <c r="Y59" s="89">
        <f>F59*(VLOOKUP(A59, 'OE&amp;E by Cluster'!$B$6:$C$9,2,FALSE))</f>
        <v>599234.26636809728</v>
      </c>
      <c r="AA59" s="242">
        <f>'AB1058'!E57</f>
        <v>0</v>
      </c>
      <c r="AB59" s="89">
        <f t="shared" si="10"/>
        <v>2141889.3892899626</v>
      </c>
      <c r="AC59" s="90">
        <f t="shared" si="11"/>
        <v>8.0546336080497094E-4</v>
      </c>
      <c r="AD59" s="54">
        <f t="shared" si="5"/>
        <v>133868.08683062266</v>
      </c>
    </row>
    <row r="60" spans="1:30" ht="20.149999999999999" customHeight="1" x14ac:dyDescent="0.35">
      <c r="A60" s="64">
        <v>3</v>
      </c>
      <c r="B60" s="65" t="s">
        <v>51</v>
      </c>
      <c r="D60" s="66">
        <f>RAS!M60</f>
        <v>228</v>
      </c>
      <c r="E60" s="66">
        <f>RAS!Q60</f>
        <v>35</v>
      </c>
      <c r="F60" s="67">
        <f t="shared" si="8"/>
        <v>263</v>
      </c>
      <c r="H60" s="70">
        <f>(F60-1)*'AVG RAS salary'!$F$66</f>
        <v>18992684.351251211</v>
      </c>
      <c r="I60" s="70">
        <f>(F60-1)*(VLOOKUP(B60,'FTE Allotment Factor'!$B$6:$D$63,3))</f>
        <v>18104635.811284974</v>
      </c>
      <c r="J60" s="70">
        <f>(F60-1)*(VLOOKUP(B60,'FTE Allotment Factor'!$B$6:$H$63,7))</f>
        <v>18104635.811284974</v>
      </c>
      <c r="K60" s="242">
        <f>VLOOKUP(A60,'CEO Salary'!$G$7:$H$13,2)</f>
        <v>199204.4966372918</v>
      </c>
      <c r="L60" s="242">
        <f t="shared" ref="L60:L64" si="13">IF(N60&lt;&gt;0,N60*K60,K60)</f>
        <v>189890.21229908019</v>
      </c>
      <c r="N60" s="84">
        <f>VLOOKUP(B60,BLS!$B$5:$I$64,8, FALSE)</f>
        <v>0.95324259996414185</v>
      </c>
      <c r="O60" s="89">
        <f t="shared" si="7"/>
        <v>18294526.023584053</v>
      </c>
      <c r="Q60" s="86">
        <f>VLOOKUP(B60,'Program 10'!$A$7:$G$64,6)</f>
        <v>0.29864222044203359</v>
      </c>
      <c r="R60" s="8">
        <f>VLOOKUP(B60,'Program 10'!$A$7:$G$64,7)</f>
        <v>28513.866886987555</v>
      </c>
      <c r="S60" s="86">
        <f>VLOOKUP(B60,'Program 90'!$A$7:$G$64,6)</f>
        <v>0.30196147110538013</v>
      </c>
      <c r="T60" s="8">
        <f>VLOOKUP(B60,'Program 90'!$A$7:$G$64,7)</f>
        <v>30447.855546100243</v>
      </c>
      <c r="U60" s="71">
        <f>(D60*VLOOKUP(B60,'FTE Allotment Factor'!$B$7:$H$64,7,FALSE)*Q60)+(D60*R60)</f>
        <v>11206323.366594395</v>
      </c>
      <c r="V60" s="71">
        <f>((((E60-1)*VLOOKUP(B60,'FTE Allotment Factor'!$B$7:$H$64,7,FALSE))+(K60*N60))*S60)+(T60*E60)</f>
        <v>1832459.8298140112</v>
      </c>
      <c r="W60" s="89">
        <f t="shared" si="9"/>
        <v>13038783.196408406</v>
      </c>
      <c r="Y60" s="89">
        <f>F60*(VLOOKUP(A60, 'OE&amp;E by Cluster'!$B$6:$C$9,2,FALSE))</f>
        <v>5016255.9877188001</v>
      </c>
      <c r="AA60" s="242">
        <f>'AB1058'!E58</f>
        <v>874209.47</v>
      </c>
      <c r="AB60" s="89">
        <f t="shared" si="10"/>
        <v>35475355.737711258</v>
      </c>
      <c r="AC60" s="90">
        <f t="shared" si="11"/>
        <v>1.3340604515399904E-2</v>
      </c>
      <c r="AD60" s="54">
        <f t="shared" si="5"/>
        <v>134887.28417380707</v>
      </c>
    </row>
    <row r="61" spans="1:30" ht="20.149999999999999" customHeight="1" x14ac:dyDescent="0.35">
      <c r="A61" s="64">
        <v>2</v>
      </c>
      <c r="B61" s="65" t="s">
        <v>38</v>
      </c>
      <c r="D61" s="66">
        <f>RAS!M61</f>
        <v>34</v>
      </c>
      <c r="E61" s="66">
        <f>RAS!Q61</f>
        <v>7</v>
      </c>
      <c r="F61" s="67">
        <f t="shared" si="8"/>
        <v>41</v>
      </c>
      <c r="H61" s="70">
        <f>(F61-1)*'AVG RAS salary'!$F$66</f>
        <v>2899646.4658398796</v>
      </c>
      <c r="I61" s="70">
        <f>(F61-1)*(VLOOKUP(B61,'FTE Allotment Factor'!$B$6:$D$63,3))</f>
        <v>2353629.6889600968</v>
      </c>
      <c r="J61" s="70">
        <f>(F61-1)*(VLOOKUP(B61,'FTE Allotment Factor'!$B$6:$H$63,7))</f>
        <v>2353629.6889600968</v>
      </c>
      <c r="K61" s="242">
        <f>VLOOKUP(A61,'CEO Salary'!$G$7:$H$13,2)</f>
        <v>205599.94433590909</v>
      </c>
      <c r="L61" s="242">
        <f t="shared" si="13"/>
        <v>166884.52842039004</v>
      </c>
      <c r="N61" s="84">
        <f>VLOOKUP(B61,BLS!$B$5:$I$64,8, FALSE)</f>
        <v>0.811695396900177</v>
      </c>
      <c r="O61" s="89">
        <f t="shared" si="7"/>
        <v>2520514.2173804869</v>
      </c>
      <c r="Q61" s="86">
        <f>VLOOKUP(B61,'Program 10'!$A$7:$G$64,6)</f>
        <v>0.29035178338483725</v>
      </c>
      <c r="R61" s="8">
        <f>VLOOKUP(B61,'Program 10'!$A$7:$G$64,7)</f>
        <v>27102.436289308178</v>
      </c>
      <c r="S61" s="86">
        <f>VLOOKUP(B61,'Program 90'!$A$7:$G$64,6)</f>
        <v>0.3047250036357575</v>
      </c>
      <c r="T61" s="8">
        <f>VLOOKUP(B61,'Program 90'!$A$7:$G$64,7)</f>
        <v>27835.334999999999</v>
      </c>
      <c r="U61" s="71">
        <f>(D61*VLOOKUP(B61,'FTE Allotment Factor'!$B$7:$H$64,7,FALSE)*Q61)+(D61*R61)</f>
        <v>1502356.3248109822</v>
      </c>
      <c r="V61" s="71">
        <f>((((E61-1)*VLOOKUP(B61,'FTE Allotment Factor'!$B$7:$H$64,7,FALSE))+(K61*N61))*S61)+(T61*E61)</f>
        <v>353282.70585849386</v>
      </c>
      <c r="W61" s="89">
        <f t="shared" si="9"/>
        <v>1855639.0306694761</v>
      </c>
      <c r="Y61" s="89">
        <f>F61*(VLOOKUP(A61, 'OE&amp;E by Cluster'!$B$6:$C$9,2,FALSE))</f>
        <v>782001.88401699928</v>
      </c>
      <c r="AA61" s="242">
        <f>'AB1058'!E59</f>
        <v>272816.94999999995</v>
      </c>
      <c r="AB61" s="89">
        <f t="shared" si="10"/>
        <v>4885338.1820669621</v>
      </c>
      <c r="AC61" s="90">
        <f t="shared" si="11"/>
        <v>1.837144779965012E-3</v>
      </c>
      <c r="AD61" s="54">
        <f t="shared" si="5"/>
        <v>119154.58980651127</v>
      </c>
    </row>
    <row r="62" spans="1:30" ht="20.149999999999999" customHeight="1" x14ac:dyDescent="0.35">
      <c r="A62" s="64">
        <v>3</v>
      </c>
      <c r="B62" s="65" t="s">
        <v>52</v>
      </c>
      <c r="D62" s="66">
        <f>RAS!M62</f>
        <v>261</v>
      </c>
      <c r="E62" s="66">
        <f>RAS!Q62</f>
        <v>46</v>
      </c>
      <c r="F62" s="67">
        <f t="shared" si="8"/>
        <v>307</v>
      </c>
      <c r="H62" s="70">
        <f>(F62-1)*'AVG RAS salary'!$F$66</f>
        <v>22182295.463675082</v>
      </c>
      <c r="I62" s="70">
        <f>(F62-1)*(VLOOKUP(B62,'FTE Allotment Factor'!$B$6:$D$63,3))</f>
        <v>27892354.942072939</v>
      </c>
      <c r="J62" s="70">
        <f>(F62-1)*(VLOOKUP(B62,'FTE Allotment Factor'!$B$6:$H$63,7))</f>
        <v>27892354.942072939</v>
      </c>
      <c r="K62" s="242">
        <f>VLOOKUP(A62,'CEO Salary'!$G$7:$H$13,2)</f>
        <v>199204.4966372918</v>
      </c>
      <c r="L62" s="242">
        <f t="shared" si="13"/>
        <v>250482.75708720426</v>
      </c>
      <c r="N62" s="84">
        <f>VLOOKUP(B62,BLS!$B$5:$I$64,8, FALSE)</f>
        <v>1.2574151754379272</v>
      </c>
      <c r="O62" s="89">
        <f t="shared" si="7"/>
        <v>28142837.699160144</v>
      </c>
      <c r="Q62" s="86">
        <f>VLOOKUP(B62,'Program 10'!$A$7:$G$64,6)</f>
        <v>0.3096136160892986</v>
      </c>
      <c r="R62" s="8">
        <f>VLOOKUP(B62,'Program 10'!$A$7:$G$64,7)</f>
        <v>15381.716393142675</v>
      </c>
      <c r="S62" s="86">
        <f>VLOOKUP(B62,'Program 90'!$A$7:$G$64,6)</f>
        <v>0.32573485266011648</v>
      </c>
      <c r="T62" s="8">
        <f>VLOOKUP(B62,'Program 90'!$A$7:$G$64,7)</f>
        <v>18125.921789315518</v>
      </c>
      <c r="U62" s="71">
        <f>(D62*VLOOKUP(B62,'FTE Allotment Factor'!$B$7:$H$64,7,FALSE)*Q62)+(D62*R62)</f>
        <v>11380502.489521449</v>
      </c>
      <c r="V62" s="71">
        <f>((((E62-1)*VLOOKUP(B62,'FTE Allotment Factor'!$B$7:$H$64,7,FALSE))+(K62*N62))*S62)+(T62*E62)</f>
        <v>2251488.0908998316</v>
      </c>
      <c r="W62" s="89">
        <f t="shared" si="9"/>
        <v>13631990.58042128</v>
      </c>
      <c r="Y62" s="89">
        <f>F62*(VLOOKUP(A62, 'OE&amp;E by Cluster'!$B$6:$C$9,2,FALSE))</f>
        <v>5855477.5217858236</v>
      </c>
      <c r="AA62" s="242">
        <f>'AB1058'!E60</f>
        <v>642663.09</v>
      </c>
      <c r="AB62" s="89">
        <f t="shared" si="10"/>
        <v>46987642.711367249</v>
      </c>
      <c r="AC62" s="90">
        <f t="shared" si="11"/>
        <v>1.7669831506634103E-2</v>
      </c>
      <c r="AD62" s="54">
        <f t="shared" si="5"/>
        <v>153054.21078621253</v>
      </c>
    </row>
    <row r="63" spans="1:30" ht="20.149999999999999" customHeight="1" x14ac:dyDescent="0.35">
      <c r="A63" s="64">
        <v>2</v>
      </c>
      <c r="B63" s="65" t="s">
        <v>39</v>
      </c>
      <c r="D63" s="66">
        <f>RAS!M63</f>
        <v>85</v>
      </c>
      <c r="E63" s="66">
        <f>RAS!Q63</f>
        <v>19</v>
      </c>
      <c r="F63" s="67">
        <f t="shared" si="8"/>
        <v>104</v>
      </c>
      <c r="H63" s="70">
        <f>(F63-1)*'AVG RAS salary'!$F$66</f>
        <v>7466589.6495376909</v>
      </c>
      <c r="I63" s="70">
        <f>(F63-1)*(VLOOKUP(B63,'FTE Allotment Factor'!$B$6:$D$63,3))</f>
        <v>8340861.433920118</v>
      </c>
      <c r="J63" s="70">
        <f>(F63-1)*(VLOOKUP(B63,'FTE Allotment Factor'!$B$6:$H$63,7))</f>
        <v>8340861.433920118</v>
      </c>
      <c r="K63" s="242">
        <f>VLOOKUP(A63,'CEO Salary'!$G$7:$H$13,2)</f>
        <v>205599.94433590909</v>
      </c>
      <c r="L63" s="242">
        <f t="shared" si="13"/>
        <v>229673.88419875031</v>
      </c>
      <c r="N63" s="84">
        <f>VLOOKUP(B63,BLS!$B$5:$I$64,8, FALSE)</f>
        <v>1.117091178894043</v>
      </c>
      <c r="O63" s="89">
        <f t="shared" si="7"/>
        <v>8570535.3181188684</v>
      </c>
      <c r="Q63" s="86">
        <f>VLOOKUP(B63,'Program 10'!$A$7:$G$64,6)</f>
        <v>0.37590640001711528</v>
      </c>
      <c r="R63" s="8">
        <f>VLOOKUP(B63,'Program 10'!$A$7:$G$64,7)</f>
        <v>23629.882607260715</v>
      </c>
      <c r="S63" s="86">
        <f>VLOOKUP(B63,'Program 90'!$A$7:$G$64,6)</f>
        <v>0.41502149664318216</v>
      </c>
      <c r="T63" s="8">
        <f>VLOOKUP(B63,'Program 90'!$A$7:$G$64,7)</f>
        <v>33229.373333333337</v>
      </c>
      <c r="U63" s="71">
        <f>(D63*VLOOKUP(B63,'FTE Allotment Factor'!$B$7:$H$64,7,FALSE)*Q63)+(D63*R63)</f>
        <v>4595992.1725555398</v>
      </c>
      <c r="V63" s="71">
        <f>((((E63-1)*VLOOKUP(B63,'FTE Allotment Factor'!$B$7:$H$64,7,FALSE))+(K63*N63))*S63)+(T63*E63)</f>
        <v>1331623.928617436</v>
      </c>
      <c r="W63" s="89">
        <f t="shared" si="9"/>
        <v>5927616.1011729762</v>
      </c>
      <c r="Y63" s="89">
        <f>F63*(VLOOKUP(A63, 'OE&amp;E by Cluster'!$B$6:$C$9,2,FALSE))</f>
        <v>1983614.5350675103</v>
      </c>
      <c r="AA63" s="242">
        <f>'AB1058'!E61</f>
        <v>316114.07999999996</v>
      </c>
      <c r="AB63" s="89">
        <f t="shared" si="10"/>
        <v>16165651.874359354</v>
      </c>
      <c r="AC63" s="90">
        <f t="shared" si="11"/>
        <v>6.0791375845234835E-3</v>
      </c>
      <c r="AD63" s="54">
        <f t="shared" si="5"/>
        <v>155438.96033037841</v>
      </c>
    </row>
    <row r="64" spans="1:30" ht="20.149999999999999" customHeight="1" x14ac:dyDescent="0.35">
      <c r="A64" s="64">
        <v>2</v>
      </c>
      <c r="B64" s="65" t="s">
        <v>40</v>
      </c>
      <c r="D64" s="66">
        <f>RAS!M64</f>
        <v>44</v>
      </c>
      <c r="E64" s="66">
        <f>RAS!Q64</f>
        <v>9</v>
      </c>
      <c r="F64" s="67">
        <f t="shared" si="8"/>
        <v>53</v>
      </c>
      <c r="H64" s="70">
        <f>(F64-1)*'AVG RAS salary'!$F$66</f>
        <v>3769540.4055918436</v>
      </c>
      <c r="I64" s="70">
        <f>(F64-1)*(VLOOKUP(B64,'FTE Allotment Factor'!$B$6:$D$63,3))</f>
        <v>3635772.5370983356</v>
      </c>
      <c r="J64" s="70">
        <f>(F64-1)*(VLOOKUP(B64,'FTE Allotment Factor'!$B$6:$H$63,7))</f>
        <v>3635772.5370983356</v>
      </c>
      <c r="K64" s="242">
        <f>VLOOKUP(A64,'CEO Salary'!$G$7:$H$13,2)</f>
        <v>205599.94433590909</v>
      </c>
      <c r="L64" s="242">
        <f t="shared" si="13"/>
        <v>198303.91793560833</v>
      </c>
      <c r="N64" s="84">
        <f>VLOOKUP(B64,BLS!$B$5:$I$64,8, FALSE)</f>
        <v>0.96451348066329956</v>
      </c>
      <c r="O64" s="89">
        <f>J64+L64</f>
        <v>3834076.455033944</v>
      </c>
      <c r="Q64" s="86">
        <f>VLOOKUP(B64,'Program 10'!$A$7:$G$64,6)</f>
        <v>9.9023726859311684E-2</v>
      </c>
      <c r="R64" s="8">
        <f>VLOOKUP(B64,'Program 10'!$A$7:$G$64,7)</f>
        <v>14985.496533587282</v>
      </c>
      <c r="S64" s="86">
        <f>VLOOKUP(B64,'Program 90'!$A$7:$G$64,6)</f>
        <v>0.10069999999999998</v>
      </c>
      <c r="T64" s="8">
        <f>VLOOKUP(B64,'Program 90'!$A$7:$G$64,7)</f>
        <v>19054.929999999997</v>
      </c>
      <c r="U64" s="71">
        <f>(D64*VLOOKUP(B64,'FTE Allotment Factor'!$B$7:$H$64,7,FALSE)*Q64)+(D64*R64)</f>
        <v>964000.71001617378</v>
      </c>
      <c r="V64" s="71">
        <f>((((E64-1)*VLOOKUP(B64,'FTE Allotment Factor'!$B$7:$H$64,7,FALSE))+(K64*N64))*S64)+(T64*E64)</f>
        <v>247790.08138008532</v>
      </c>
      <c r="W64" s="89">
        <f t="shared" si="9"/>
        <v>1211790.7913962591</v>
      </c>
      <c r="Y64" s="89">
        <f>F64*(VLOOKUP(A64, 'OE&amp;E by Cluster'!$B$6:$C$9,2,FALSE))</f>
        <v>1010880.4842170966</v>
      </c>
      <c r="AA64" s="242">
        <f>'AB1058'!E62</f>
        <v>198240.88</v>
      </c>
      <c r="AB64" s="89">
        <f t="shared" si="10"/>
        <v>5858506.8506472996</v>
      </c>
      <c r="AC64" s="90">
        <f t="shared" si="11"/>
        <v>2.2031075184445487E-3</v>
      </c>
      <c r="AD64" s="54">
        <f t="shared" si="5"/>
        <v>110537.86510655282</v>
      </c>
    </row>
    <row r="65" spans="1:29" ht="20.149999999999999" customHeight="1" thickBot="1" x14ac:dyDescent="0.4">
      <c r="B65" s="97" t="s">
        <v>62</v>
      </c>
      <c r="D65" s="68">
        <f>SUM(D7:D64)</f>
        <v>14310</v>
      </c>
      <c r="E65" s="68">
        <f>SUM(E7:E64)</f>
        <v>2375</v>
      </c>
      <c r="F65" s="68">
        <f>SUM(F7:F64)</f>
        <v>16685</v>
      </c>
      <c r="H65" s="98"/>
      <c r="I65" s="98"/>
      <c r="J65" s="98"/>
      <c r="K65" s="98"/>
      <c r="L65" s="76">
        <f>SUM(L7:L64)</f>
        <v>11956248.166880144</v>
      </c>
      <c r="N65" s="58"/>
      <c r="O65" s="76">
        <f>SUM(O7:O64)</f>
        <v>1479872143.0523183</v>
      </c>
      <c r="Q65" s="55"/>
      <c r="R65" s="55"/>
      <c r="S65" s="55"/>
      <c r="T65" s="55"/>
      <c r="U65" s="85">
        <f>SUM(U7:U64)</f>
        <v>770451531.64902353</v>
      </c>
      <c r="V65" s="85">
        <f>SUM(V7:V64)</f>
        <v>134138929.29250889</v>
      </c>
      <c r="W65" s="85">
        <f>SUM(W7:W64)</f>
        <v>904590460.94153225</v>
      </c>
      <c r="Y65" s="85">
        <f t="shared" ref="Y65" si="14">SUM(Y7:Y64)</f>
        <v>323217309.02697611</v>
      </c>
      <c r="AA65" s="85">
        <f>SUM(AA7:AA64)</f>
        <v>48478398.07</v>
      </c>
      <c r="AB65" s="85">
        <f>SUM(AB7:AB64)</f>
        <v>2659201514.9508262</v>
      </c>
      <c r="AC65" s="92">
        <f t="shared" ref="AC65" si="15">SUM(AC7:AC64)</f>
        <v>1</v>
      </c>
    </row>
    <row r="66" spans="1:29" ht="15" thickTop="1" x14ac:dyDescent="0.35">
      <c r="D66" s="53"/>
      <c r="E66" s="53"/>
      <c r="F66" s="53"/>
      <c r="H66" s="55"/>
      <c r="I66" s="55"/>
      <c r="J66" s="55"/>
      <c r="K66" s="54"/>
      <c r="L66" s="164"/>
      <c r="N66" s="54"/>
      <c r="O66" s="164"/>
      <c r="Q66" s="55"/>
      <c r="R66" s="55"/>
      <c r="S66" s="55"/>
      <c r="T66" s="55"/>
      <c r="U66" s="55"/>
      <c r="V66" s="55"/>
      <c r="W66" s="54"/>
      <c r="Y66" s="54"/>
      <c r="AA66" s="54"/>
      <c r="AB66" s="165"/>
      <c r="AC66" s="59"/>
    </row>
    <row r="67" spans="1:29" ht="20.149999999999999" customHeight="1" x14ac:dyDescent="0.35">
      <c r="A67" s="52"/>
      <c r="B67" s="60" t="s">
        <v>221</v>
      </c>
      <c r="C67" s="60"/>
      <c r="D67" s="60"/>
      <c r="E67" s="60"/>
      <c r="F67" s="60"/>
      <c r="G67" s="60"/>
      <c r="H67" s="60"/>
      <c r="I67" s="60"/>
      <c r="J67" s="60"/>
      <c r="K67" s="60"/>
      <c r="L67" s="60"/>
      <c r="M67" s="60"/>
      <c r="N67" s="60"/>
      <c r="O67" s="60"/>
      <c r="P67" s="60"/>
      <c r="Q67" s="60"/>
      <c r="R67" s="60"/>
      <c r="S67" s="60"/>
      <c r="T67" s="60"/>
      <c r="U67" s="235"/>
      <c r="V67" s="60"/>
      <c r="W67" s="60"/>
      <c r="X67" s="60"/>
      <c r="Y67" s="236"/>
      <c r="Z67" s="60"/>
      <c r="AA67" s="237"/>
      <c r="AB67" s="274"/>
      <c r="AC67" s="239"/>
    </row>
    <row r="68" spans="1:29" ht="20.149999999999999" customHeight="1" x14ac:dyDescent="0.35">
      <c r="A68" s="52"/>
      <c r="B68" s="232" t="s">
        <v>239</v>
      </c>
      <c r="C68" s="60"/>
      <c r="D68" s="60"/>
      <c r="E68" s="60"/>
      <c r="F68" s="60"/>
      <c r="G68" s="60"/>
      <c r="H68" s="60"/>
      <c r="I68" s="60"/>
      <c r="J68" s="60"/>
      <c r="K68" s="60"/>
      <c r="L68" s="60"/>
      <c r="M68" s="60"/>
      <c r="N68" s="60"/>
      <c r="O68" s="60"/>
      <c r="P68" s="60"/>
      <c r="Q68" s="60"/>
      <c r="R68" s="60"/>
      <c r="S68" s="60"/>
      <c r="T68" s="60"/>
      <c r="U68" s="235"/>
      <c r="V68" s="60"/>
      <c r="W68" s="60"/>
      <c r="X68" s="60"/>
      <c r="Y68" s="236"/>
      <c r="Z68" s="60"/>
      <c r="AA68" s="237"/>
      <c r="AB68" s="259"/>
      <c r="AC68" s="239"/>
    </row>
    <row r="69" spans="1:29" ht="20.149999999999999" customHeight="1" x14ac:dyDescent="0.35">
      <c r="A69" s="52"/>
      <c r="B69" s="232" t="s">
        <v>250</v>
      </c>
      <c r="C69" s="232"/>
      <c r="D69" s="232"/>
      <c r="E69" s="232"/>
      <c r="F69" s="232"/>
      <c r="G69" s="232"/>
      <c r="H69" s="232"/>
      <c r="I69" s="232"/>
      <c r="J69" s="232"/>
      <c r="K69" s="232"/>
      <c r="L69" s="232"/>
      <c r="M69" s="232"/>
      <c r="N69" s="232"/>
      <c r="O69" s="232"/>
      <c r="P69" s="60"/>
      <c r="Q69" s="60"/>
      <c r="R69" s="60"/>
      <c r="S69" s="60"/>
      <c r="T69" s="60"/>
      <c r="U69" s="235"/>
      <c r="V69" s="60"/>
      <c r="W69" s="60"/>
      <c r="X69" s="60"/>
      <c r="Y69" s="236"/>
      <c r="Z69" s="60"/>
      <c r="AA69" s="237"/>
      <c r="AB69" s="238"/>
      <c r="AC69" s="239"/>
    </row>
    <row r="70" spans="1:29" ht="17.5" customHeight="1" x14ac:dyDescent="0.35">
      <c r="A70" s="52"/>
      <c r="B70" s="60" t="s">
        <v>245</v>
      </c>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row>
    <row r="71" spans="1:29" ht="35.15" customHeight="1" x14ac:dyDescent="0.35">
      <c r="B71" s="287" t="s">
        <v>246</v>
      </c>
      <c r="C71" s="287"/>
      <c r="D71" s="287"/>
      <c r="E71" s="287"/>
      <c r="F71" s="287"/>
      <c r="G71" s="287"/>
      <c r="H71" s="287"/>
      <c r="I71" s="287"/>
      <c r="J71" s="287"/>
      <c r="K71" s="287"/>
      <c r="L71" s="287"/>
      <c r="M71" s="287"/>
      <c r="N71" s="287"/>
      <c r="O71" s="287"/>
      <c r="P71" s="287"/>
      <c r="Q71" s="287"/>
      <c r="R71" s="287"/>
      <c r="S71" s="287"/>
      <c r="T71" s="287"/>
      <c r="U71" s="287"/>
      <c r="V71" s="287"/>
      <c r="W71" s="287"/>
      <c r="X71" s="287"/>
      <c r="Y71" s="287"/>
      <c r="Z71" s="287"/>
      <c r="AA71" s="287"/>
      <c r="AB71" s="287"/>
      <c r="AC71" s="287"/>
    </row>
    <row r="72" spans="1:29" ht="18.649999999999999" customHeight="1" x14ac:dyDescent="0.35">
      <c r="B72" s="60" t="s">
        <v>247</v>
      </c>
      <c r="C72" s="60"/>
      <c r="D72" s="60"/>
      <c r="E72" s="60"/>
      <c r="F72" s="60"/>
      <c r="G72" s="60"/>
      <c r="H72" s="60"/>
      <c r="I72" s="60"/>
      <c r="J72" s="60"/>
      <c r="K72" s="60"/>
      <c r="L72" s="60"/>
      <c r="M72" s="60"/>
      <c r="N72" s="60"/>
      <c r="O72" s="60"/>
      <c r="P72" s="60"/>
      <c r="Q72" s="60"/>
      <c r="R72" s="60"/>
      <c r="S72" s="60"/>
      <c r="T72" s="60"/>
      <c r="U72" s="60"/>
      <c r="V72" s="60"/>
      <c r="W72" s="240"/>
      <c r="X72" s="60"/>
      <c r="Y72" s="60"/>
      <c r="Z72" s="60"/>
      <c r="AA72" s="60"/>
      <c r="AB72" s="238"/>
      <c r="AC72" s="60"/>
    </row>
    <row r="73" spans="1:29" ht="25" customHeight="1" x14ac:dyDescent="0.35">
      <c r="A73" s="60"/>
      <c r="B73" s="258" t="s">
        <v>248</v>
      </c>
      <c r="C73" s="258"/>
      <c r="D73" s="258"/>
      <c r="E73" s="258"/>
      <c r="F73" s="258"/>
      <c r="G73" s="258"/>
      <c r="H73" s="258"/>
      <c r="I73" s="258"/>
      <c r="J73" s="60"/>
      <c r="K73" s="241"/>
      <c r="L73" s="60"/>
      <c r="M73" s="60"/>
      <c r="N73" s="60"/>
      <c r="O73" s="60"/>
      <c r="P73" s="60"/>
      <c r="Q73" s="60"/>
      <c r="R73" s="60"/>
      <c r="S73" s="60"/>
      <c r="T73" s="60"/>
      <c r="U73" s="235"/>
      <c r="V73" s="60"/>
      <c r="W73" s="60"/>
      <c r="X73" s="60"/>
      <c r="Y73" s="236"/>
      <c r="Z73" s="60"/>
      <c r="AA73" s="237"/>
      <c r="AB73" s="238"/>
      <c r="AC73" s="239"/>
    </row>
    <row r="74" spans="1:29" ht="16.5" x14ac:dyDescent="0.35">
      <c r="B74" s="52" t="s">
        <v>249</v>
      </c>
    </row>
    <row r="75" spans="1:29" ht="16.5" x14ac:dyDescent="0.35">
      <c r="B75" s="257"/>
    </row>
  </sheetData>
  <sortState xmlns:xlrd2="http://schemas.microsoft.com/office/spreadsheetml/2017/richdata2" ref="A5:AF62">
    <sortCondition ref="B5:B62"/>
  </sortState>
  <mergeCells count="9">
    <mergeCell ref="B71:AC71"/>
    <mergeCell ref="Y4:Y5"/>
    <mergeCell ref="D4:F4"/>
    <mergeCell ref="N4:O4"/>
    <mergeCell ref="A5:A6"/>
    <mergeCell ref="B5:B6"/>
    <mergeCell ref="Q4:T4"/>
    <mergeCell ref="U4:W4"/>
    <mergeCell ref="H4:L4"/>
  </mergeCells>
  <printOptions horizontalCentered="1"/>
  <pageMargins left="0" right="0" top="0.5" bottom="0" header="0.3" footer="0"/>
  <pageSetup scale="33" orientation="landscape" r:id="rId1"/>
  <headerFooter>
    <oddHeader xml:space="preserve">&amp;C&amp;"-,Bold"&amp;16 </oddHead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9" tint="0.59999389629810485"/>
    <pageSetUpPr fitToPage="1"/>
  </sheetPr>
  <dimension ref="A1:K67"/>
  <sheetViews>
    <sheetView zoomScaleNormal="100" workbookViewId="0">
      <pane xSplit="2" ySplit="6" topLeftCell="C7" activePane="bottomRight" state="frozen"/>
      <selection pane="topRight" activeCell="D1" sqref="D1"/>
      <selection pane="bottomLeft" activeCell="A6" sqref="A6"/>
      <selection pane="bottomRight" activeCell="G37" sqref="G37"/>
    </sheetView>
  </sheetViews>
  <sheetFormatPr defaultColWidth="9.1796875" defaultRowHeight="14.5" x14ac:dyDescent="0.35"/>
  <cols>
    <col min="1" max="1" width="8.1796875" style="1" bestFit="1" customWidth="1"/>
    <col min="2" max="8" width="15.81640625" style="1" customWidth="1"/>
    <col min="9" max="9" width="15.81640625" style="145" customWidth="1"/>
    <col min="10" max="16384" width="9.1796875" style="1"/>
  </cols>
  <sheetData>
    <row r="1" spans="1:11" ht="18.5" x14ac:dyDescent="0.45">
      <c r="A1" s="2" t="s">
        <v>174</v>
      </c>
    </row>
    <row r="2" spans="1:11" ht="15" customHeight="1" x14ac:dyDescent="0.35">
      <c r="A2" s="48" t="s">
        <v>238</v>
      </c>
    </row>
    <row r="3" spans="1:11" ht="15" customHeight="1" x14ac:dyDescent="0.35">
      <c r="A3" s="150"/>
    </row>
    <row r="4" spans="1:11" ht="15" customHeight="1" x14ac:dyDescent="0.35">
      <c r="A4" s="146"/>
      <c r="F4" s="303" t="s">
        <v>177</v>
      </c>
      <c r="G4" s="304"/>
      <c r="H4" s="304"/>
    </row>
    <row r="5" spans="1:11" ht="52" x14ac:dyDescent="0.35">
      <c r="A5" s="299" t="s">
        <v>68</v>
      </c>
      <c r="B5" s="301" t="s">
        <v>73</v>
      </c>
      <c r="C5" s="11" t="s">
        <v>72</v>
      </c>
      <c r="D5" s="11" t="s">
        <v>71</v>
      </c>
      <c r="E5" s="151" t="s">
        <v>70</v>
      </c>
      <c r="F5" s="73" t="s">
        <v>178</v>
      </c>
      <c r="G5" s="73" t="s">
        <v>179</v>
      </c>
      <c r="H5" s="73" t="s">
        <v>180</v>
      </c>
      <c r="I5" s="87" t="s">
        <v>175</v>
      </c>
    </row>
    <row r="6" spans="1:11" x14ac:dyDescent="0.35">
      <c r="A6" s="300"/>
      <c r="B6" s="302"/>
      <c r="C6" s="77" t="s">
        <v>65</v>
      </c>
      <c r="D6" s="77" t="s">
        <v>1</v>
      </c>
      <c r="E6" s="77" t="s">
        <v>66</v>
      </c>
      <c r="F6" s="77" t="s">
        <v>2</v>
      </c>
      <c r="G6" s="77" t="s">
        <v>3</v>
      </c>
      <c r="H6" s="77" t="s">
        <v>83</v>
      </c>
      <c r="I6" s="77" t="s">
        <v>110</v>
      </c>
    </row>
    <row r="7" spans="1:11" ht="15" customHeight="1" x14ac:dyDescent="0.35">
      <c r="A7" s="5">
        <v>4</v>
      </c>
      <c r="B7" s="6" t="s">
        <v>53</v>
      </c>
      <c r="C7" s="143">
        <v>1</v>
      </c>
      <c r="D7" s="143"/>
      <c r="E7" s="144" t="s">
        <v>225</v>
      </c>
      <c r="F7" s="255">
        <v>1.4963059425354004</v>
      </c>
      <c r="G7" s="255"/>
      <c r="H7" s="255">
        <v>1.4963059425354004</v>
      </c>
      <c r="I7" s="255">
        <v>1.4963059425354004</v>
      </c>
      <c r="J7"/>
      <c r="K7" s="275"/>
    </row>
    <row r="8" spans="1:11" ht="15" customHeight="1" x14ac:dyDescent="0.35">
      <c r="A8" s="5">
        <v>1</v>
      </c>
      <c r="B8" s="7" t="s">
        <v>4</v>
      </c>
      <c r="C8" s="143">
        <v>1</v>
      </c>
      <c r="D8" s="143"/>
      <c r="E8" s="144" t="s">
        <v>225</v>
      </c>
      <c r="F8" s="255">
        <v>0.7278130054473877</v>
      </c>
      <c r="G8" s="255"/>
      <c r="H8" s="255">
        <v>0.7278130054473877</v>
      </c>
      <c r="I8" s="255">
        <v>0.7278130054473877</v>
      </c>
      <c r="J8"/>
      <c r="K8" s="275"/>
    </row>
    <row r="9" spans="1:11" ht="15" customHeight="1" x14ac:dyDescent="0.35">
      <c r="A9" s="5">
        <v>1</v>
      </c>
      <c r="B9" s="7" t="s">
        <v>5</v>
      </c>
      <c r="C9" s="143">
        <v>0.29248914122581482</v>
      </c>
      <c r="D9" s="143">
        <v>0.70751082897186279</v>
      </c>
      <c r="E9" s="224" t="s">
        <v>226</v>
      </c>
      <c r="F9" s="255">
        <v>0.92380028963088989</v>
      </c>
      <c r="G9" s="255">
        <v>1.0356795787811279</v>
      </c>
      <c r="H9" s="255">
        <v>0.97973990440368652</v>
      </c>
      <c r="I9" s="255">
        <v>0.97973990440368652</v>
      </c>
      <c r="J9"/>
      <c r="K9" s="275"/>
    </row>
    <row r="10" spans="1:11" ht="15" customHeight="1" x14ac:dyDescent="0.35">
      <c r="A10" s="5">
        <v>2</v>
      </c>
      <c r="B10" s="6" t="s">
        <v>19</v>
      </c>
      <c r="C10" s="143">
        <v>0.79378014802932739</v>
      </c>
      <c r="D10" s="143">
        <v>0.20621985197067261</v>
      </c>
      <c r="E10" s="144" t="s">
        <v>225</v>
      </c>
      <c r="F10" s="255">
        <v>0.90206420421600342</v>
      </c>
      <c r="G10" s="255">
        <v>0.93407368659973145</v>
      </c>
      <c r="H10" s="255">
        <v>0.91806894540786743</v>
      </c>
      <c r="I10" s="255">
        <v>0.90206420421600342</v>
      </c>
      <c r="J10"/>
      <c r="K10" s="275"/>
    </row>
    <row r="11" spans="1:11" ht="15" customHeight="1" x14ac:dyDescent="0.35">
      <c r="A11" s="5">
        <v>1</v>
      </c>
      <c r="B11" s="7" t="s">
        <v>6</v>
      </c>
      <c r="C11" s="143">
        <v>0.65814346075057983</v>
      </c>
      <c r="D11" s="143">
        <v>0.34185659885406494</v>
      </c>
      <c r="E11" s="144" t="s">
        <v>225</v>
      </c>
      <c r="F11" s="255">
        <v>0.83266341686248779</v>
      </c>
      <c r="G11" s="255">
        <v>0.88857549428939819</v>
      </c>
      <c r="H11" s="255">
        <v>0.86061942577362061</v>
      </c>
      <c r="I11" s="255">
        <v>0.83266341686248779</v>
      </c>
      <c r="J11"/>
      <c r="K11" s="275"/>
    </row>
    <row r="12" spans="1:11" ht="15" customHeight="1" x14ac:dyDescent="0.35">
      <c r="A12" s="5">
        <v>1</v>
      </c>
      <c r="B12" s="7" t="s">
        <v>7</v>
      </c>
      <c r="C12" s="143">
        <v>0.96695023775100708</v>
      </c>
      <c r="D12" s="143">
        <v>3.3049739897251129E-2</v>
      </c>
      <c r="E12" s="144" t="s">
        <v>225</v>
      </c>
      <c r="F12" s="255">
        <v>0.72714883089065552</v>
      </c>
      <c r="G12" s="255">
        <v>0.95689058303833008</v>
      </c>
      <c r="H12" s="255">
        <v>0.84201967716217041</v>
      </c>
      <c r="I12" s="255">
        <v>0.72714883089065552</v>
      </c>
      <c r="J12"/>
      <c r="K12" s="275"/>
    </row>
    <row r="13" spans="1:11" ht="15" customHeight="1" x14ac:dyDescent="0.35">
      <c r="A13" s="5">
        <v>3</v>
      </c>
      <c r="B13" s="6" t="s">
        <v>41</v>
      </c>
      <c r="C13" s="143">
        <v>1</v>
      </c>
      <c r="D13" s="143"/>
      <c r="E13" s="144" t="s">
        <v>225</v>
      </c>
      <c r="F13" s="255">
        <v>1.3362052440643311</v>
      </c>
      <c r="G13" s="255"/>
      <c r="H13" s="255">
        <v>1.3362052440643311</v>
      </c>
      <c r="I13" s="255">
        <v>1.3362052440643311</v>
      </c>
      <c r="J13"/>
      <c r="K13" s="275"/>
    </row>
    <row r="14" spans="1:11" ht="15" customHeight="1" x14ac:dyDescent="0.35">
      <c r="A14" s="5">
        <v>1</v>
      </c>
      <c r="B14" s="7" t="s">
        <v>8</v>
      </c>
      <c r="C14" s="143">
        <v>0.33922901749610901</v>
      </c>
      <c r="D14" s="143">
        <v>0.6607709527015686</v>
      </c>
      <c r="E14" s="224" t="s">
        <v>226</v>
      </c>
      <c r="F14" s="255">
        <v>0.66405296325683594</v>
      </c>
      <c r="G14" s="255">
        <v>0.86357975006103516</v>
      </c>
      <c r="H14" s="255">
        <v>0.76381635665893555</v>
      </c>
      <c r="I14" s="255">
        <v>0.76381635665893555</v>
      </c>
      <c r="J14"/>
      <c r="K14" s="275"/>
    </row>
    <row r="15" spans="1:11" ht="15" customHeight="1" x14ac:dyDescent="0.35">
      <c r="A15" s="5">
        <v>2</v>
      </c>
      <c r="B15" s="7" t="s">
        <v>20</v>
      </c>
      <c r="C15" s="143">
        <v>1</v>
      </c>
      <c r="D15" s="143"/>
      <c r="E15" s="144" t="s">
        <v>225</v>
      </c>
      <c r="F15" s="255">
        <v>1.0880756378173828</v>
      </c>
      <c r="G15" s="255"/>
      <c r="H15" s="255">
        <v>1.0880756378173828</v>
      </c>
      <c r="I15" s="255">
        <v>1.0880756378173828</v>
      </c>
      <c r="J15"/>
      <c r="K15" s="275"/>
    </row>
    <row r="16" spans="1:11" ht="15" customHeight="1" x14ac:dyDescent="0.35">
      <c r="A16" s="5">
        <v>3</v>
      </c>
      <c r="B16" s="6" t="s">
        <v>42</v>
      </c>
      <c r="C16" s="143">
        <v>0.67883449792861938</v>
      </c>
      <c r="D16" s="143">
        <v>0.32116559147834778</v>
      </c>
      <c r="E16" s="144" t="s">
        <v>225</v>
      </c>
      <c r="F16" s="255">
        <v>0.92551994323730469</v>
      </c>
      <c r="G16" s="255">
        <v>1.1422855854034424</v>
      </c>
      <c r="H16" s="255">
        <v>1.0339027643203735</v>
      </c>
      <c r="I16" s="255">
        <v>0.92551994323730469</v>
      </c>
      <c r="J16"/>
      <c r="K16" s="275"/>
    </row>
    <row r="17" spans="1:11" ht="15" customHeight="1" x14ac:dyDescent="0.35">
      <c r="A17" s="5">
        <v>1</v>
      </c>
      <c r="B17" s="7" t="s">
        <v>9</v>
      </c>
      <c r="C17" s="143">
        <v>0.95308363437652588</v>
      </c>
      <c r="D17" s="143">
        <v>4.6916380524635315E-2</v>
      </c>
      <c r="E17" s="144" t="s">
        <v>225</v>
      </c>
      <c r="F17" s="255">
        <v>0.73574227094650269</v>
      </c>
      <c r="G17" s="255">
        <v>1.0939210653305054</v>
      </c>
      <c r="H17" s="255">
        <v>0.91483163833618164</v>
      </c>
      <c r="I17" s="255">
        <v>0.73574227094650269</v>
      </c>
      <c r="J17"/>
      <c r="K17" s="275"/>
    </row>
    <row r="18" spans="1:11" ht="15" customHeight="1" x14ac:dyDescent="0.35">
      <c r="A18" s="5">
        <v>2</v>
      </c>
      <c r="B18" s="7" t="s">
        <v>21</v>
      </c>
      <c r="C18" s="143">
        <v>1</v>
      </c>
      <c r="D18" s="143"/>
      <c r="E18" s="144" t="s">
        <v>225</v>
      </c>
      <c r="F18" s="255">
        <v>0.73561853170394897</v>
      </c>
      <c r="G18" s="255"/>
      <c r="H18" s="255">
        <v>0.73561853170394897</v>
      </c>
      <c r="I18" s="255">
        <v>0.73561853170394897</v>
      </c>
      <c r="J18"/>
      <c r="K18" s="275"/>
    </row>
    <row r="19" spans="1:11" ht="15" customHeight="1" x14ac:dyDescent="0.35">
      <c r="A19" s="5">
        <v>2</v>
      </c>
      <c r="B19" s="6" t="s">
        <v>22</v>
      </c>
      <c r="C19" s="143">
        <v>0.51836246252059937</v>
      </c>
      <c r="D19" s="143">
        <v>0.48163756728172302</v>
      </c>
      <c r="E19" s="144" t="s">
        <v>225</v>
      </c>
      <c r="F19" s="255">
        <v>0.69631016254425049</v>
      </c>
      <c r="G19" s="255">
        <v>0.90610706806182861</v>
      </c>
      <c r="H19" s="255">
        <v>0.80120861530303955</v>
      </c>
      <c r="I19" s="255">
        <v>0.69631016254425049</v>
      </c>
      <c r="J19"/>
      <c r="K19" s="275"/>
    </row>
    <row r="20" spans="1:11" ht="15" customHeight="1" x14ac:dyDescent="0.35">
      <c r="A20" s="5">
        <v>1</v>
      </c>
      <c r="B20" s="7" t="s">
        <v>10</v>
      </c>
      <c r="C20" s="143">
        <v>0.67982214689254761</v>
      </c>
      <c r="D20" s="143">
        <v>0.32017791271209717</v>
      </c>
      <c r="E20" s="144" t="s">
        <v>225</v>
      </c>
      <c r="F20" s="255">
        <v>0.76618307828903198</v>
      </c>
      <c r="G20" s="255">
        <v>1.0027871131896973</v>
      </c>
      <c r="H20" s="255">
        <v>0.88448512554168701</v>
      </c>
      <c r="I20" s="255">
        <v>0.76618307828903198</v>
      </c>
      <c r="J20"/>
      <c r="K20" s="275"/>
    </row>
    <row r="21" spans="1:11" ht="15" customHeight="1" x14ac:dyDescent="0.35">
      <c r="A21" s="5">
        <v>3</v>
      </c>
      <c r="B21" s="7" t="s">
        <v>43</v>
      </c>
      <c r="C21" s="143">
        <v>0.56477022171020508</v>
      </c>
      <c r="D21" s="143">
        <v>0.43522974848747253</v>
      </c>
      <c r="E21" s="144" t="s">
        <v>225</v>
      </c>
      <c r="F21" s="255">
        <v>0.91488748788833618</v>
      </c>
      <c r="G21" s="255">
        <v>1.0293897390365601</v>
      </c>
      <c r="H21" s="255">
        <v>0.97213864326477051</v>
      </c>
      <c r="I21" s="255">
        <v>0.91488748788833618</v>
      </c>
      <c r="J21"/>
      <c r="K21" s="275"/>
    </row>
    <row r="22" spans="1:11" ht="15" customHeight="1" x14ac:dyDescent="0.35">
      <c r="A22" s="5">
        <v>2</v>
      </c>
      <c r="B22" s="6" t="s">
        <v>23</v>
      </c>
      <c r="C22" s="143">
        <v>0.34914469718933105</v>
      </c>
      <c r="D22" s="143">
        <v>0.65085530281066895</v>
      </c>
      <c r="E22" s="225" t="s">
        <v>226</v>
      </c>
      <c r="F22" s="255">
        <v>0.84772366285324097</v>
      </c>
      <c r="G22" s="255">
        <v>0.90113025903701782</v>
      </c>
      <c r="H22" s="255">
        <v>0.87442696094512939</v>
      </c>
      <c r="I22" s="255">
        <v>0.87442696094512939</v>
      </c>
      <c r="J22"/>
      <c r="K22" s="275"/>
    </row>
    <row r="23" spans="1:11" ht="15" customHeight="1" x14ac:dyDescent="0.35">
      <c r="A23" s="5">
        <v>2</v>
      </c>
      <c r="B23" s="7" t="s">
        <v>24</v>
      </c>
      <c r="C23" s="143">
        <v>1</v>
      </c>
      <c r="D23" s="143"/>
      <c r="E23" s="144" t="s">
        <v>225</v>
      </c>
      <c r="F23" s="255">
        <v>0.73263388872146606</v>
      </c>
      <c r="G23" s="255"/>
      <c r="H23" s="255">
        <v>0.73263388872146606</v>
      </c>
      <c r="I23" s="255">
        <v>0.73263388872146606</v>
      </c>
      <c r="J23"/>
      <c r="K23" s="275"/>
    </row>
    <row r="24" spans="1:11" ht="15" customHeight="1" x14ac:dyDescent="0.35">
      <c r="A24" s="5">
        <v>1</v>
      </c>
      <c r="B24" s="7" t="s">
        <v>11</v>
      </c>
      <c r="C24" s="143">
        <v>0.18097896873950958</v>
      </c>
      <c r="D24" s="143">
        <v>0.81902104616165161</v>
      </c>
      <c r="E24" s="225" t="s">
        <v>226</v>
      </c>
      <c r="F24" s="255">
        <v>0.68099093437194824</v>
      </c>
      <c r="G24" s="255">
        <v>0.92428773641586304</v>
      </c>
      <c r="H24" s="255">
        <v>0.80263936519622803</v>
      </c>
      <c r="I24" s="255">
        <v>0.80263936519622803</v>
      </c>
      <c r="J24"/>
      <c r="K24" s="275"/>
    </row>
    <row r="25" spans="1:11" ht="15" customHeight="1" x14ac:dyDescent="0.35">
      <c r="A25" s="5">
        <v>4</v>
      </c>
      <c r="B25" s="6" t="s">
        <v>54</v>
      </c>
      <c r="C25" s="143">
        <v>0.90136921405792236</v>
      </c>
      <c r="D25" s="143">
        <v>9.8630756139755249E-2</v>
      </c>
      <c r="E25" s="144" t="s">
        <v>225</v>
      </c>
      <c r="F25" s="255">
        <v>1.3905229568481445</v>
      </c>
      <c r="G25" s="255">
        <v>1.2756215333938599</v>
      </c>
      <c r="H25" s="255">
        <v>1.3330721855163574</v>
      </c>
      <c r="I25" s="255">
        <v>1.3905229568481445</v>
      </c>
      <c r="J25"/>
      <c r="K25" s="275"/>
    </row>
    <row r="26" spans="1:11" ht="15" customHeight="1" x14ac:dyDescent="0.35">
      <c r="A26" s="5">
        <v>2</v>
      </c>
      <c r="B26" s="7" t="s">
        <v>25</v>
      </c>
      <c r="C26" s="143">
        <v>0.4339955747127533</v>
      </c>
      <c r="D26" s="143">
        <v>0.56600439548492432</v>
      </c>
      <c r="E26" s="225" t="s">
        <v>226</v>
      </c>
      <c r="F26" s="255">
        <v>0.8206297755241394</v>
      </c>
      <c r="G26" s="255">
        <v>1.0158408880233765</v>
      </c>
      <c r="H26" s="255">
        <v>0.91823530197143555</v>
      </c>
      <c r="I26" s="255">
        <v>0.91823530197143555</v>
      </c>
      <c r="J26"/>
      <c r="K26" s="275"/>
    </row>
    <row r="27" spans="1:11" ht="15" customHeight="1" x14ac:dyDescent="0.35">
      <c r="A27" s="5">
        <v>2</v>
      </c>
      <c r="B27" s="7" t="s">
        <v>26</v>
      </c>
      <c r="C27" s="143">
        <v>0.65442591905593872</v>
      </c>
      <c r="D27" s="143">
        <v>0.34557414054870605</v>
      </c>
      <c r="E27" s="144" t="s">
        <v>225</v>
      </c>
      <c r="F27" s="255">
        <v>1.3162022829055786</v>
      </c>
      <c r="G27" s="255">
        <v>0.97892457246780396</v>
      </c>
      <c r="H27" s="255">
        <v>1.1475634574890137</v>
      </c>
      <c r="I27" s="255">
        <v>1.3162022829055786</v>
      </c>
      <c r="J27"/>
      <c r="K27" s="275"/>
    </row>
    <row r="28" spans="1:11" ht="15" customHeight="1" x14ac:dyDescent="0.35">
      <c r="A28" s="5">
        <v>1</v>
      </c>
      <c r="B28" s="6" t="s">
        <v>12</v>
      </c>
      <c r="C28" s="143">
        <v>0.49467647075653076</v>
      </c>
      <c r="D28" s="143">
        <v>0.50532352924346924</v>
      </c>
      <c r="E28" s="144" t="s">
        <v>226</v>
      </c>
      <c r="F28" s="255">
        <v>0.88677877187728882</v>
      </c>
      <c r="G28" s="255">
        <v>0.84860414266586304</v>
      </c>
      <c r="H28" s="255">
        <v>0.86769145727157593</v>
      </c>
      <c r="I28" s="255">
        <v>0.86769145727157593</v>
      </c>
      <c r="J28"/>
      <c r="K28" s="275"/>
    </row>
    <row r="29" spans="1:11" ht="15" customHeight="1" x14ac:dyDescent="0.35">
      <c r="A29" s="5">
        <v>2</v>
      </c>
      <c r="B29" s="7" t="s">
        <v>27</v>
      </c>
      <c r="C29" s="143">
        <v>0.81464076042175293</v>
      </c>
      <c r="D29" s="143">
        <v>0.18535931408405304</v>
      </c>
      <c r="E29" s="144" t="s">
        <v>225</v>
      </c>
      <c r="F29" s="255">
        <v>0.79256832599639893</v>
      </c>
      <c r="G29" s="255">
        <v>0.88715910911560059</v>
      </c>
      <c r="H29" s="255">
        <v>0.83986371755599976</v>
      </c>
      <c r="I29" s="255">
        <v>0.79256832599639893</v>
      </c>
      <c r="J29"/>
      <c r="K29" s="275"/>
    </row>
    <row r="30" spans="1:11" ht="15" customHeight="1" x14ac:dyDescent="0.35">
      <c r="A30" s="5">
        <v>2</v>
      </c>
      <c r="B30" s="7" t="s">
        <v>28</v>
      </c>
      <c r="C30" s="143">
        <v>1</v>
      </c>
      <c r="D30" s="143"/>
      <c r="E30" s="144" t="s">
        <v>225</v>
      </c>
      <c r="F30" s="255">
        <v>0.8015282154083252</v>
      </c>
      <c r="G30" s="255"/>
      <c r="H30" s="255">
        <v>0.8015282154083252</v>
      </c>
      <c r="I30" s="255">
        <v>0.8015282154083252</v>
      </c>
      <c r="J30"/>
      <c r="K30" s="275"/>
    </row>
    <row r="31" spans="1:11" ht="15" customHeight="1" x14ac:dyDescent="0.35">
      <c r="A31" s="5">
        <v>1</v>
      </c>
      <c r="B31" s="6" t="s">
        <v>13</v>
      </c>
      <c r="C31" s="143">
        <v>0.8526422381401062</v>
      </c>
      <c r="D31" s="143">
        <v>0.14735771715641022</v>
      </c>
      <c r="E31" s="144" t="s">
        <v>225</v>
      </c>
      <c r="F31" s="255">
        <v>0.55943965911865234</v>
      </c>
      <c r="G31" s="255">
        <v>0.97461628913879395</v>
      </c>
      <c r="H31" s="255">
        <v>0.76702797412872314</v>
      </c>
      <c r="I31" s="255">
        <v>0.55943965911865234</v>
      </c>
      <c r="J31"/>
      <c r="K31" s="275"/>
    </row>
    <row r="32" spans="1:11" ht="15" customHeight="1" x14ac:dyDescent="0.35">
      <c r="A32" s="5">
        <v>1</v>
      </c>
      <c r="B32" s="7" t="s">
        <v>14</v>
      </c>
      <c r="C32" s="143">
        <v>0.9041297435760498</v>
      </c>
      <c r="D32" s="143">
        <v>9.5870204269886017E-2</v>
      </c>
      <c r="E32" s="144" t="s">
        <v>225</v>
      </c>
      <c r="F32" s="255">
        <v>0.90215259790420532</v>
      </c>
      <c r="G32" s="255">
        <v>0.92901802062988281</v>
      </c>
      <c r="H32" s="255">
        <v>0.91558527946472168</v>
      </c>
      <c r="I32" s="255">
        <v>0.90215259790420532</v>
      </c>
      <c r="J32"/>
      <c r="K32" s="275"/>
    </row>
    <row r="33" spans="1:11" ht="15" customHeight="1" x14ac:dyDescent="0.35">
      <c r="A33" s="5">
        <v>3</v>
      </c>
      <c r="B33" s="7" t="s">
        <v>44</v>
      </c>
      <c r="C33" s="143">
        <v>0.6184391975402832</v>
      </c>
      <c r="D33" s="143">
        <v>0.3815608024597168</v>
      </c>
      <c r="E33" s="144" t="s">
        <v>225</v>
      </c>
      <c r="F33" s="255">
        <v>1.1359313726425171</v>
      </c>
      <c r="G33" s="255">
        <v>0.9467964768409729</v>
      </c>
      <c r="H33" s="255">
        <v>1.0413639545440674</v>
      </c>
      <c r="I33" s="255">
        <v>1.1359313726425171</v>
      </c>
      <c r="J33"/>
      <c r="K33" s="275"/>
    </row>
    <row r="34" spans="1:11" ht="15" customHeight="1" x14ac:dyDescent="0.35">
      <c r="A34" s="5">
        <v>2</v>
      </c>
      <c r="B34" s="6" t="s">
        <v>29</v>
      </c>
      <c r="C34" s="143">
        <v>0.78272449970245361</v>
      </c>
      <c r="D34" s="143">
        <v>0.21727553009986877</v>
      </c>
      <c r="E34" s="144" t="s">
        <v>225</v>
      </c>
      <c r="F34" s="255">
        <v>1.2594999074935913</v>
      </c>
      <c r="G34" s="255">
        <v>1.0305860042572021</v>
      </c>
      <c r="H34" s="255">
        <v>1.145042896270752</v>
      </c>
      <c r="I34" s="255">
        <v>1.2594999074935913</v>
      </c>
      <c r="J34"/>
      <c r="K34" s="275"/>
    </row>
    <row r="35" spans="1:11" ht="15" customHeight="1" x14ac:dyDescent="0.35">
      <c r="A35" s="5">
        <v>2</v>
      </c>
      <c r="B35" s="7" t="s">
        <v>30</v>
      </c>
      <c r="C35" s="143">
        <v>0.70287001132965088</v>
      </c>
      <c r="D35" s="143">
        <v>0.29712998867034912</v>
      </c>
      <c r="E35" s="144" t="s">
        <v>225</v>
      </c>
      <c r="F35" s="255">
        <v>1.0679706335067749</v>
      </c>
      <c r="G35" s="255">
        <v>0.68160855770111084</v>
      </c>
      <c r="H35" s="255">
        <v>0.87478959560394287</v>
      </c>
      <c r="I35" s="255">
        <v>1.0679706335067749</v>
      </c>
      <c r="J35"/>
      <c r="K35" s="275"/>
    </row>
    <row r="36" spans="1:11" ht="15" customHeight="1" x14ac:dyDescent="0.35">
      <c r="A36" s="5">
        <v>4</v>
      </c>
      <c r="B36" s="7" t="s">
        <v>55</v>
      </c>
      <c r="C36" s="143">
        <v>1</v>
      </c>
      <c r="D36" s="143"/>
      <c r="E36" s="144" t="s">
        <v>225</v>
      </c>
      <c r="F36" s="255">
        <v>1.2435827255249023</v>
      </c>
      <c r="G36" s="255"/>
      <c r="H36" s="255">
        <v>1.2435827255249023</v>
      </c>
      <c r="I36" s="255">
        <v>1.2435827255249023</v>
      </c>
      <c r="J36"/>
      <c r="K36" s="275"/>
    </row>
    <row r="37" spans="1:11" ht="15" customHeight="1" x14ac:dyDescent="0.35">
      <c r="A37" s="5">
        <v>2</v>
      </c>
      <c r="B37" s="6" t="s">
        <v>31</v>
      </c>
      <c r="C37" s="143">
        <v>1</v>
      </c>
      <c r="D37" s="143"/>
      <c r="E37" s="144" t="s">
        <v>225</v>
      </c>
      <c r="F37" s="255">
        <v>1.17447829246521</v>
      </c>
      <c r="G37" s="255"/>
      <c r="H37" s="255">
        <v>1.17447829246521</v>
      </c>
      <c r="I37" s="255">
        <v>1.17447829246521</v>
      </c>
      <c r="J37"/>
      <c r="K37" s="275"/>
    </row>
    <row r="38" spans="1:11" ht="15" customHeight="1" x14ac:dyDescent="0.35">
      <c r="A38" s="5">
        <v>1</v>
      </c>
      <c r="B38" s="7" t="s">
        <v>15</v>
      </c>
      <c r="C38" s="143">
        <v>0.92046713829040527</v>
      </c>
      <c r="D38" s="143">
        <v>7.9532809555530548E-2</v>
      </c>
      <c r="E38" s="144" t="s">
        <v>225</v>
      </c>
      <c r="F38" s="255">
        <v>0.70373260974884033</v>
      </c>
      <c r="G38" s="255">
        <v>0.86635494232177734</v>
      </c>
      <c r="H38" s="255">
        <v>0.78504377603530884</v>
      </c>
      <c r="I38" s="255">
        <v>0.70373260974884033</v>
      </c>
      <c r="J38"/>
      <c r="K38" s="275"/>
    </row>
    <row r="39" spans="1:11" ht="15" customHeight="1" x14ac:dyDescent="0.35">
      <c r="A39" s="5">
        <v>4</v>
      </c>
      <c r="B39" s="7" t="s">
        <v>56</v>
      </c>
      <c r="C39" s="143">
        <v>0.79426205158233643</v>
      </c>
      <c r="D39" s="143">
        <v>0.20573796331882477</v>
      </c>
      <c r="E39" s="144" t="s">
        <v>225</v>
      </c>
      <c r="F39" s="255">
        <v>1.0981889963150024</v>
      </c>
      <c r="G39" s="255">
        <v>1.0043032169342041</v>
      </c>
      <c r="H39" s="255">
        <v>1.051246166229248</v>
      </c>
      <c r="I39" s="255">
        <v>1.0981889963150024</v>
      </c>
      <c r="J39"/>
      <c r="K39" s="275"/>
    </row>
    <row r="40" spans="1:11" ht="15" customHeight="1" x14ac:dyDescent="0.35">
      <c r="A40" s="5">
        <v>4</v>
      </c>
      <c r="B40" s="6" t="s">
        <v>57</v>
      </c>
      <c r="C40" s="143">
        <v>0.17846524715423584</v>
      </c>
      <c r="D40" s="143">
        <v>0.82153475284576416</v>
      </c>
      <c r="E40" s="225" t="s">
        <v>226</v>
      </c>
      <c r="F40" s="255">
        <v>1.1948925256729126</v>
      </c>
      <c r="G40" s="255">
        <v>1.4428505897521973</v>
      </c>
      <c r="H40" s="255">
        <v>1.3188714981079102</v>
      </c>
      <c r="I40" s="255">
        <v>1.3188714981079102</v>
      </c>
      <c r="J40"/>
      <c r="K40" s="275"/>
    </row>
    <row r="41" spans="1:11" ht="15" customHeight="1" x14ac:dyDescent="0.35">
      <c r="A41" s="5">
        <v>1</v>
      </c>
      <c r="B41" s="7" t="s">
        <v>16</v>
      </c>
      <c r="C41" s="143">
        <v>0.90438985824584961</v>
      </c>
      <c r="D41" s="143">
        <v>9.56101194024086E-2</v>
      </c>
      <c r="E41" s="144" t="s">
        <v>225</v>
      </c>
      <c r="F41" s="255">
        <v>1.0188114643096924</v>
      </c>
      <c r="G41" s="255">
        <v>0.74141424894332886</v>
      </c>
      <c r="H41" s="255">
        <v>0.88011288642883301</v>
      </c>
      <c r="I41" s="255">
        <v>1.0188114643096924</v>
      </c>
      <c r="J41"/>
      <c r="K41" s="275"/>
    </row>
    <row r="42" spans="1:11" ht="15" customHeight="1" x14ac:dyDescent="0.35">
      <c r="A42" s="5">
        <v>4</v>
      </c>
      <c r="B42" s="7" t="s">
        <v>58</v>
      </c>
      <c r="C42" s="143">
        <v>0.76172101497650146</v>
      </c>
      <c r="D42" s="143">
        <v>0.23827895522117615</v>
      </c>
      <c r="E42" s="144" t="s">
        <v>225</v>
      </c>
      <c r="F42" s="255">
        <v>1.115166187286377</v>
      </c>
      <c r="G42" s="255">
        <v>1.0471391677856445</v>
      </c>
      <c r="H42" s="255">
        <v>1.0811526775360107</v>
      </c>
      <c r="I42" s="255">
        <v>1.115166187286377</v>
      </c>
      <c r="J42"/>
      <c r="K42" s="275"/>
    </row>
    <row r="43" spans="1:11" ht="15" customHeight="1" x14ac:dyDescent="0.35">
      <c r="A43" s="5">
        <v>4</v>
      </c>
      <c r="B43" s="6" t="s">
        <v>59</v>
      </c>
      <c r="C43" s="143">
        <v>1</v>
      </c>
      <c r="D43" s="143"/>
      <c r="E43" s="144" t="s">
        <v>225</v>
      </c>
      <c r="F43" s="255">
        <v>1.1678495407104492</v>
      </c>
      <c r="G43" s="255"/>
      <c r="H43" s="255">
        <v>1.1678495407104492</v>
      </c>
      <c r="I43" s="255">
        <v>1.1678495407104492</v>
      </c>
      <c r="J43"/>
      <c r="K43" s="275"/>
    </row>
    <row r="44" spans="1:11" ht="15" customHeight="1" x14ac:dyDescent="0.35">
      <c r="A44" s="5">
        <v>3</v>
      </c>
      <c r="B44" s="7" t="s">
        <v>60</v>
      </c>
      <c r="C44" s="143">
        <v>1</v>
      </c>
      <c r="D44" s="143"/>
      <c r="E44" s="144" t="s">
        <v>225</v>
      </c>
      <c r="F44" s="255">
        <v>1.6257103681564331</v>
      </c>
      <c r="G44" s="255"/>
      <c r="H44" s="255">
        <v>1.6257103681564331</v>
      </c>
      <c r="I44" s="255">
        <v>1.6257103681564331</v>
      </c>
      <c r="J44"/>
      <c r="K44" s="275"/>
    </row>
    <row r="45" spans="1:11" ht="15" customHeight="1" x14ac:dyDescent="0.35">
      <c r="A45" s="5">
        <v>3</v>
      </c>
      <c r="B45" s="7" t="s">
        <v>45</v>
      </c>
      <c r="C45" s="143">
        <v>0.67785531282424927</v>
      </c>
      <c r="D45" s="143">
        <v>0.32214474678039551</v>
      </c>
      <c r="E45" s="144" t="s">
        <v>225</v>
      </c>
      <c r="F45" s="255">
        <v>1.0376924276351929</v>
      </c>
      <c r="G45" s="255">
        <v>0.96829384565353394</v>
      </c>
      <c r="H45" s="255">
        <v>1.002993106842041</v>
      </c>
      <c r="I45" s="255">
        <v>1.0376924276351929</v>
      </c>
      <c r="J45"/>
      <c r="K45" s="275"/>
    </row>
    <row r="46" spans="1:11" ht="15" customHeight="1" x14ac:dyDescent="0.35">
      <c r="A46" s="5">
        <v>2</v>
      </c>
      <c r="B46" s="6" t="s">
        <v>32</v>
      </c>
      <c r="C46" s="143">
        <v>0.54897958040237427</v>
      </c>
      <c r="D46" s="143">
        <v>0.45102038979530334</v>
      </c>
      <c r="E46" s="144" t="s">
        <v>225</v>
      </c>
      <c r="F46" s="255">
        <v>1.0355483293533325</v>
      </c>
      <c r="G46" s="255">
        <v>1.0481554269790649</v>
      </c>
      <c r="H46" s="255">
        <v>1.0418518781661987</v>
      </c>
      <c r="I46" s="255">
        <v>1.0355483293533325</v>
      </c>
      <c r="J46"/>
      <c r="K46" s="275"/>
    </row>
    <row r="47" spans="1:11" ht="15" customHeight="1" x14ac:dyDescent="0.35">
      <c r="A47" s="5">
        <v>3</v>
      </c>
      <c r="B47" s="7" t="s">
        <v>46</v>
      </c>
      <c r="C47" s="143">
        <v>0.96661555767059326</v>
      </c>
      <c r="D47" s="143">
        <v>3.3384386450052261E-2</v>
      </c>
      <c r="E47" s="144" t="s">
        <v>225</v>
      </c>
      <c r="F47" s="255">
        <v>1.554282546043396</v>
      </c>
      <c r="G47" s="255">
        <v>0.97517156600952148</v>
      </c>
      <c r="H47" s="255">
        <v>1.2647271156311035</v>
      </c>
      <c r="I47" s="255">
        <v>1.554282546043396</v>
      </c>
      <c r="J47"/>
      <c r="K47" s="275"/>
    </row>
    <row r="48" spans="1:11" ht="15" customHeight="1" x14ac:dyDescent="0.35">
      <c r="A48" s="5">
        <v>3</v>
      </c>
      <c r="B48" s="7" t="s">
        <v>47</v>
      </c>
      <c r="C48" s="143">
        <v>0.92188477516174316</v>
      </c>
      <c r="D48" s="143">
        <v>7.8115180134773254E-2</v>
      </c>
      <c r="E48" s="144" t="s">
        <v>225</v>
      </c>
      <c r="F48" s="255">
        <v>1.2152726650238037</v>
      </c>
      <c r="G48" s="255">
        <v>1.0086709260940552</v>
      </c>
      <c r="H48" s="255">
        <v>1.1119718551635742</v>
      </c>
      <c r="I48" s="255">
        <v>1.2152726650238037</v>
      </c>
      <c r="J48"/>
      <c r="K48" s="275"/>
    </row>
    <row r="49" spans="1:11" ht="15" customHeight="1" x14ac:dyDescent="0.35">
      <c r="A49" s="5">
        <v>4</v>
      </c>
      <c r="B49" s="6" t="s">
        <v>61</v>
      </c>
      <c r="C49" s="143">
        <v>1</v>
      </c>
      <c r="D49" s="143"/>
      <c r="E49" s="144" t="s">
        <v>225</v>
      </c>
      <c r="F49" s="255">
        <v>1.499026894569397</v>
      </c>
      <c r="G49" s="255"/>
      <c r="H49" s="255">
        <v>1.499026894569397</v>
      </c>
      <c r="I49" s="255">
        <v>1.499026894569397</v>
      </c>
      <c r="J49"/>
      <c r="K49" s="275"/>
    </row>
    <row r="50" spans="1:11" ht="15" customHeight="1" x14ac:dyDescent="0.35">
      <c r="A50" s="5">
        <v>2</v>
      </c>
      <c r="B50" s="7" t="s">
        <v>33</v>
      </c>
      <c r="C50" s="143">
        <v>0.84652870893478394</v>
      </c>
      <c r="D50" s="143">
        <v>0.15347126126289368</v>
      </c>
      <c r="E50" s="144" t="s">
        <v>225</v>
      </c>
      <c r="F50" s="255">
        <v>1.1387718915939331</v>
      </c>
      <c r="G50" s="255">
        <v>0.79846936464309692</v>
      </c>
      <c r="H50" s="255">
        <v>0.9686206579208374</v>
      </c>
      <c r="I50" s="255">
        <v>1.1387718915939331</v>
      </c>
      <c r="J50"/>
      <c r="K50" s="275"/>
    </row>
    <row r="51" spans="1:11" ht="15" customHeight="1" x14ac:dyDescent="0.35">
      <c r="A51" s="5">
        <v>2</v>
      </c>
      <c r="B51" s="7" t="s">
        <v>34</v>
      </c>
      <c r="C51" s="143">
        <v>0.69022250175476074</v>
      </c>
      <c r="D51" s="143">
        <v>0.30977746844291687</v>
      </c>
      <c r="E51" s="144" t="s">
        <v>225</v>
      </c>
      <c r="F51" s="255">
        <v>0.88244163990020752</v>
      </c>
      <c r="G51" s="255">
        <v>1.0676586627960205</v>
      </c>
      <c r="H51" s="255">
        <v>0.97505015134811401</v>
      </c>
      <c r="I51" s="255">
        <v>0.88244163990020752</v>
      </c>
      <c r="J51"/>
      <c r="K51" s="275"/>
    </row>
    <row r="52" spans="1:11" ht="15" customHeight="1" x14ac:dyDescent="0.35">
      <c r="A52" s="5">
        <v>1</v>
      </c>
      <c r="B52" s="6" t="s">
        <v>17</v>
      </c>
      <c r="C52" s="143">
        <v>1</v>
      </c>
      <c r="D52" s="143">
        <v>0</v>
      </c>
      <c r="E52" s="144" t="s">
        <v>225</v>
      </c>
      <c r="F52" s="255">
        <v>0.62195944786071777</v>
      </c>
      <c r="G52" s="255"/>
      <c r="H52" s="255"/>
      <c r="I52" s="255">
        <v>0.62195944786071777</v>
      </c>
      <c r="J52"/>
      <c r="K52" s="275"/>
    </row>
    <row r="53" spans="1:11" ht="15" customHeight="1" x14ac:dyDescent="0.35">
      <c r="A53" s="5">
        <v>2</v>
      </c>
      <c r="B53" s="7" t="s">
        <v>35</v>
      </c>
      <c r="C53" s="143">
        <v>0.7255474328994751</v>
      </c>
      <c r="D53" s="143">
        <v>0.2744525671005249</v>
      </c>
      <c r="E53" s="144" t="s">
        <v>225</v>
      </c>
      <c r="F53" s="255">
        <v>0.68741786479949951</v>
      </c>
      <c r="G53" s="255">
        <v>0.8868032693862915</v>
      </c>
      <c r="H53" s="255">
        <v>0.78711056709289551</v>
      </c>
      <c r="I53" s="255">
        <v>0.68741786479949951</v>
      </c>
      <c r="J53"/>
      <c r="K53" s="275"/>
    </row>
    <row r="54" spans="1:11" ht="15" customHeight="1" x14ac:dyDescent="0.35">
      <c r="A54" s="5">
        <v>3</v>
      </c>
      <c r="B54" s="7" t="s">
        <v>48</v>
      </c>
      <c r="C54" s="143">
        <v>0.66676056385040283</v>
      </c>
      <c r="D54" s="143">
        <v>0.33323937654495239</v>
      </c>
      <c r="E54" s="144" t="s">
        <v>225</v>
      </c>
      <c r="F54" s="255">
        <v>1.2033621072769165</v>
      </c>
      <c r="G54" s="255">
        <v>1.1394716501235962</v>
      </c>
      <c r="H54" s="255">
        <v>1.1714168787002563</v>
      </c>
      <c r="I54" s="255">
        <v>1.2033621072769165</v>
      </c>
      <c r="J54"/>
      <c r="K54" s="275"/>
    </row>
    <row r="55" spans="1:11" ht="15" customHeight="1" x14ac:dyDescent="0.35">
      <c r="A55" s="5">
        <v>3</v>
      </c>
      <c r="B55" s="6" t="s">
        <v>49</v>
      </c>
      <c r="C55" s="143">
        <v>1</v>
      </c>
      <c r="D55" s="143"/>
      <c r="E55" s="144" t="s">
        <v>225</v>
      </c>
      <c r="F55" s="255">
        <v>1.2121275663375854</v>
      </c>
      <c r="G55" s="255"/>
      <c r="H55" s="255">
        <v>1.2121275663375854</v>
      </c>
      <c r="I55" s="255">
        <v>1.2121275663375854</v>
      </c>
      <c r="J55"/>
      <c r="K55" s="275"/>
    </row>
    <row r="56" spans="1:11" ht="15" customHeight="1" x14ac:dyDescent="0.35">
      <c r="A56" s="5">
        <v>3</v>
      </c>
      <c r="B56" s="7" t="s">
        <v>50</v>
      </c>
      <c r="C56" s="143">
        <v>1</v>
      </c>
      <c r="D56" s="143"/>
      <c r="E56" s="144" t="s">
        <v>225</v>
      </c>
      <c r="F56" s="255">
        <v>1.0325236320495605</v>
      </c>
      <c r="G56" s="255"/>
      <c r="H56" s="255">
        <v>1.0325236320495605</v>
      </c>
      <c r="I56" s="255">
        <v>1.0325236320495605</v>
      </c>
      <c r="J56"/>
      <c r="K56" s="275"/>
    </row>
    <row r="57" spans="1:11" ht="15" customHeight="1" x14ac:dyDescent="0.35">
      <c r="A57" s="5">
        <v>2</v>
      </c>
      <c r="B57" s="7" t="s">
        <v>36</v>
      </c>
      <c r="C57" s="143">
        <v>1</v>
      </c>
      <c r="D57" s="143"/>
      <c r="E57" s="144" t="s">
        <v>225</v>
      </c>
      <c r="F57" s="255">
        <v>0.94405943155288696</v>
      </c>
      <c r="G57" s="255"/>
      <c r="H57" s="255">
        <v>0.94405943155288696</v>
      </c>
      <c r="I57" s="255">
        <v>0.94405943155288696</v>
      </c>
      <c r="J57"/>
      <c r="K57" s="275"/>
    </row>
    <row r="58" spans="1:11" ht="15" customHeight="1" x14ac:dyDescent="0.35">
      <c r="A58" s="5">
        <v>2</v>
      </c>
      <c r="B58" s="6" t="s">
        <v>37</v>
      </c>
      <c r="C58" s="143">
        <v>0.71809661388397217</v>
      </c>
      <c r="D58" s="143">
        <v>0.28190338611602783</v>
      </c>
      <c r="E58" s="144" t="s">
        <v>225</v>
      </c>
      <c r="F58" s="255">
        <v>0.74592924118041992</v>
      </c>
      <c r="G58" s="255">
        <v>1.0739307403564453</v>
      </c>
      <c r="H58" s="255">
        <v>0.90992999076843262</v>
      </c>
      <c r="I58" s="255">
        <v>0.74592924118041992</v>
      </c>
      <c r="J58"/>
      <c r="K58" s="275"/>
    </row>
    <row r="59" spans="1:11" ht="15" customHeight="1" x14ac:dyDescent="0.35">
      <c r="A59" s="5">
        <v>1</v>
      </c>
      <c r="B59" s="7" t="s">
        <v>18</v>
      </c>
      <c r="C59" s="143">
        <v>0.90688872337341309</v>
      </c>
      <c r="D59" s="143">
        <v>9.3111276626586914E-2</v>
      </c>
      <c r="E59" s="144" t="s">
        <v>225</v>
      </c>
      <c r="F59" s="255">
        <v>0.69821012020111084</v>
      </c>
      <c r="G59" s="255">
        <v>1.1975059509277344</v>
      </c>
      <c r="H59" s="255">
        <v>0.94785803556442261</v>
      </c>
      <c r="I59" s="255">
        <v>0.69821012020111084</v>
      </c>
      <c r="J59"/>
      <c r="K59" s="275"/>
    </row>
    <row r="60" spans="1:11" ht="15" customHeight="1" x14ac:dyDescent="0.35">
      <c r="A60" s="5">
        <v>3</v>
      </c>
      <c r="B60" s="7" t="s">
        <v>51</v>
      </c>
      <c r="C60" s="143">
        <v>0.94511944055557251</v>
      </c>
      <c r="D60" s="143">
        <v>5.488055944442749E-2</v>
      </c>
      <c r="E60" s="144" t="s">
        <v>225</v>
      </c>
      <c r="F60" s="255">
        <v>0.95324259996414185</v>
      </c>
      <c r="G60" s="255">
        <v>0.97689610719680786</v>
      </c>
      <c r="H60" s="255">
        <v>0.96506935358047485</v>
      </c>
      <c r="I60" s="255">
        <v>0.95324259996414185</v>
      </c>
      <c r="J60"/>
      <c r="K60" s="275"/>
    </row>
    <row r="61" spans="1:11" ht="15" customHeight="1" x14ac:dyDescent="0.35">
      <c r="A61" s="5">
        <v>2</v>
      </c>
      <c r="B61" s="6" t="s">
        <v>38</v>
      </c>
      <c r="C61" s="143">
        <v>1</v>
      </c>
      <c r="D61" s="143"/>
      <c r="E61" s="144" t="s">
        <v>225</v>
      </c>
      <c r="F61" s="255">
        <v>0.811695396900177</v>
      </c>
      <c r="G61" s="255"/>
      <c r="H61" s="255">
        <v>0.811695396900177</v>
      </c>
      <c r="I61" s="255">
        <v>0.811695396900177</v>
      </c>
      <c r="J61"/>
      <c r="K61" s="275"/>
    </row>
    <row r="62" spans="1:11" ht="15" customHeight="1" x14ac:dyDescent="0.35">
      <c r="A62" s="5">
        <v>3</v>
      </c>
      <c r="B62" s="7" t="s">
        <v>52</v>
      </c>
      <c r="C62" s="143">
        <v>1</v>
      </c>
      <c r="D62" s="143"/>
      <c r="E62" s="144" t="s">
        <v>225</v>
      </c>
      <c r="F62" s="255">
        <v>1.2574151754379272</v>
      </c>
      <c r="G62" s="255"/>
      <c r="H62" s="255">
        <v>1.2574151754379272</v>
      </c>
      <c r="I62" s="255">
        <v>1.2574151754379272</v>
      </c>
      <c r="J62"/>
      <c r="K62" s="275"/>
    </row>
    <row r="63" spans="1:11" ht="15" customHeight="1" x14ac:dyDescent="0.35">
      <c r="A63" s="5">
        <v>2</v>
      </c>
      <c r="B63" s="7" t="s">
        <v>39</v>
      </c>
      <c r="C63" s="143">
        <v>0.5048069953918457</v>
      </c>
      <c r="D63" s="143">
        <v>0.4951930046081543</v>
      </c>
      <c r="E63" s="144" t="s">
        <v>225</v>
      </c>
      <c r="F63" s="255">
        <v>1.117091178894043</v>
      </c>
      <c r="G63" s="255">
        <v>1.5133365392684937</v>
      </c>
      <c r="H63" s="255">
        <v>1.3152139186859131</v>
      </c>
      <c r="I63" s="255">
        <v>1.117091178894043</v>
      </c>
      <c r="J63"/>
      <c r="K63" s="275"/>
    </row>
    <row r="64" spans="1:11" ht="15" customHeight="1" x14ac:dyDescent="0.35">
      <c r="A64" s="5">
        <v>2</v>
      </c>
      <c r="B64" s="6" t="s">
        <v>40</v>
      </c>
      <c r="C64" s="143">
        <v>1</v>
      </c>
      <c r="D64" s="143"/>
      <c r="E64" s="144" t="s">
        <v>225</v>
      </c>
      <c r="F64" s="255">
        <v>0.96451348066329956</v>
      </c>
      <c r="G64" s="255"/>
      <c r="H64" s="255">
        <v>0.96451348066329956</v>
      </c>
      <c r="I64" s="255">
        <v>0.96451348066329956</v>
      </c>
      <c r="J64"/>
      <c r="K64" s="275"/>
    </row>
    <row r="65" spans="2:9" x14ac:dyDescent="0.35">
      <c r="E65" s="147"/>
      <c r="I65" s="148"/>
    </row>
    <row r="66" spans="2:9" x14ac:dyDescent="0.35">
      <c r="B66" s="149" t="s">
        <v>235</v>
      </c>
      <c r="C66" s="231"/>
    </row>
    <row r="67" spans="2:9" ht="16.5" x14ac:dyDescent="0.35">
      <c r="B67" s="260" t="s">
        <v>236</v>
      </c>
    </row>
  </sheetData>
  <mergeCells count="3">
    <mergeCell ref="A5:A6"/>
    <mergeCell ref="B5:B6"/>
    <mergeCell ref="F4:H4"/>
  </mergeCells>
  <conditionalFormatting sqref="E5">
    <cfRule type="containsText" dxfId="3" priority="2" operator="containsText" text="Yes">
      <formula>NOT(ISERROR(SEARCH("Yes",E5)))</formula>
    </cfRule>
  </conditionalFormatting>
  <conditionalFormatting sqref="E7:E51 E53:E64">
    <cfRule type="cellIs" dxfId="2" priority="1" operator="equal">
      <formula>"yes"</formula>
    </cfRule>
  </conditionalFormatting>
  <printOptions horizontalCentered="1"/>
  <pageMargins left="0.25" right="0.25" top="0.5" bottom="0.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T68"/>
  <sheetViews>
    <sheetView view="pageBreakPreview" zoomScaleNormal="85" zoomScaleSheetLayoutView="100" workbookViewId="0">
      <pane xSplit="1" ySplit="6" topLeftCell="B7" activePane="bottomRight" state="frozen"/>
      <selection pane="topRight" activeCell="B1" sqref="B1"/>
      <selection pane="bottomLeft" activeCell="A7" sqref="A7"/>
      <selection pane="bottomRight" activeCell="J22" sqref="J22"/>
    </sheetView>
  </sheetViews>
  <sheetFormatPr defaultColWidth="9.1796875" defaultRowHeight="14.5" x14ac:dyDescent="0.35"/>
  <cols>
    <col min="1" max="1" width="15.81640625" style="100" customWidth="1"/>
    <col min="2" max="2" width="1.81640625" style="52" customWidth="1"/>
    <col min="3" max="3" width="11.1796875" style="100" customWidth="1"/>
    <col min="4" max="4" width="9.81640625" style="100" customWidth="1"/>
    <col min="5" max="5" width="9.1796875" style="100" bestFit="1" customWidth="1"/>
    <col min="6" max="6" width="8.54296875" style="100" bestFit="1" customWidth="1"/>
    <col min="7" max="7" width="10.1796875" style="100" customWidth="1"/>
    <col min="8" max="8" width="9.1796875" style="100" customWidth="1"/>
    <col min="9" max="9" width="10.81640625" style="100" bestFit="1" customWidth="1"/>
    <col min="10" max="10" width="11.81640625" style="100" customWidth="1"/>
    <col min="11" max="11" width="11.1796875" style="100" customWidth="1"/>
    <col min="12" max="12" width="12.81640625" style="100" customWidth="1"/>
    <col min="13" max="13" width="12.54296875" style="104" customWidth="1"/>
    <col min="14" max="14" width="1.81640625" style="52" customWidth="1"/>
    <col min="15" max="16" width="12.81640625" style="100" customWidth="1"/>
    <col min="17" max="17" width="12.81640625" style="104" customWidth="1"/>
    <col min="18" max="18" width="1.81640625" style="52" customWidth="1"/>
    <col min="19" max="19" width="12.81640625" style="104" customWidth="1"/>
    <col min="20" max="20" width="16.453125" style="100" customWidth="1"/>
    <col min="21" max="16384" width="9.1796875" style="101"/>
  </cols>
  <sheetData>
    <row r="1" spans="1:20" ht="20.149999999999999" customHeight="1" x14ac:dyDescent="0.35">
      <c r="A1" s="47" t="s">
        <v>233</v>
      </c>
      <c r="B1" s="99"/>
      <c r="T1" s="101"/>
    </row>
    <row r="2" spans="1:20" ht="20.149999999999999" customHeight="1" x14ac:dyDescent="0.35">
      <c r="A2" s="48" t="s">
        <v>237</v>
      </c>
      <c r="B2" s="50"/>
      <c r="F2" s="102"/>
      <c r="G2" s="102"/>
      <c r="H2" s="102"/>
      <c r="I2" s="102"/>
      <c r="J2" s="102"/>
      <c r="K2" s="102"/>
      <c r="L2" s="102"/>
      <c r="M2" s="102"/>
      <c r="N2" s="50"/>
      <c r="O2" s="102"/>
      <c r="P2" s="102"/>
      <c r="Q2" s="102"/>
      <c r="R2" s="50"/>
      <c r="S2" s="102"/>
      <c r="T2" s="101"/>
    </row>
    <row r="3" spans="1:20" ht="20.149999999999999" customHeight="1" x14ac:dyDescent="0.35">
      <c r="A3" s="103"/>
      <c r="B3" s="50"/>
      <c r="N3" s="50"/>
      <c r="R3" s="50"/>
    </row>
    <row r="4" spans="1:20" ht="20.149999999999999" customHeight="1" x14ac:dyDescent="0.35">
      <c r="A4" s="75"/>
      <c r="B4" s="80"/>
      <c r="C4" s="305" t="s">
        <v>87</v>
      </c>
      <c r="D4" s="305"/>
      <c r="E4" s="305"/>
      <c r="F4" s="305"/>
      <c r="G4" s="305"/>
      <c r="H4" s="305"/>
      <c r="I4" s="305"/>
      <c r="J4" s="305"/>
      <c r="K4" s="305"/>
      <c r="L4" s="305"/>
      <c r="M4" s="305"/>
      <c r="N4" s="80"/>
      <c r="O4" s="303" t="s">
        <v>88</v>
      </c>
      <c r="P4" s="304"/>
      <c r="Q4" s="304"/>
      <c r="R4" s="80"/>
      <c r="S4" s="105"/>
      <c r="T4" s="106"/>
    </row>
    <row r="5" spans="1:20" s="108" customFormat="1" ht="65" x14ac:dyDescent="0.35">
      <c r="A5" s="306" t="s">
        <v>63</v>
      </c>
      <c r="B5" s="80"/>
      <c r="C5" s="114" t="s">
        <v>89</v>
      </c>
      <c r="D5" s="114" t="s">
        <v>90</v>
      </c>
      <c r="E5" s="114" t="s">
        <v>91</v>
      </c>
      <c r="F5" s="114" t="s">
        <v>161</v>
      </c>
      <c r="G5" s="114" t="s">
        <v>176</v>
      </c>
      <c r="H5" s="114" t="s">
        <v>92</v>
      </c>
      <c r="I5" s="114" t="s">
        <v>157</v>
      </c>
      <c r="J5" s="73" t="s">
        <v>162</v>
      </c>
      <c r="K5" s="73" t="s">
        <v>163</v>
      </c>
      <c r="L5" s="73" t="s">
        <v>164</v>
      </c>
      <c r="M5" s="74" t="s">
        <v>165</v>
      </c>
      <c r="N5" s="80"/>
      <c r="O5" s="72" t="s">
        <v>160</v>
      </c>
      <c r="P5" s="72" t="s">
        <v>167</v>
      </c>
      <c r="Q5" s="72" t="s">
        <v>166</v>
      </c>
      <c r="R5" s="80"/>
      <c r="S5" s="94" t="s">
        <v>224</v>
      </c>
      <c r="T5" s="107"/>
    </row>
    <row r="6" spans="1:20" s="108" customFormat="1" x14ac:dyDescent="0.35">
      <c r="A6" s="306"/>
      <c r="B6" s="81"/>
      <c r="C6" s="77" t="s">
        <v>65</v>
      </c>
      <c r="D6" s="77" t="s">
        <v>1</v>
      </c>
      <c r="E6" s="77" t="s">
        <v>66</v>
      </c>
      <c r="F6" s="77" t="s">
        <v>2</v>
      </c>
      <c r="G6" s="77" t="s">
        <v>3</v>
      </c>
      <c r="H6" s="77" t="s">
        <v>83</v>
      </c>
      <c r="I6" s="77" t="s">
        <v>110</v>
      </c>
      <c r="J6" s="77" t="s">
        <v>109</v>
      </c>
      <c r="K6" s="77" t="s">
        <v>84</v>
      </c>
      <c r="L6" s="77" t="s">
        <v>85</v>
      </c>
      <c r="M6" s="77" t="s">
        <v>111</v>
      </c>
      <c r="N6" s="81"/>
      <c r="O6" s="77" t="s">
        <v>112</v>
      </c>
      <c r="P6" s="77" t="s">
        <v>86</v>
      </c>
      <c r="Q6" s="77" t="s">
        <v>76</v>
      </c>
      <c r="R6" s="81"/>
      <c r="S6" s="77" t="s">
        <v>113</v>
      </c>
      <c r="T6" s="107"/>
    </row>
    <row r="7" spans="1:20" ht="20.149999999999999" customHeight="1" x14ac:dyDescent="0.35">
      <c r="A7" s="113" t="s">
        <v>53</v>
      </c>
      <c r="B7" s="80"/>
      <c r="C7" s="115">
        <v>33.255242368510061</v>
      </c>
      <c r="D7" s="115">
        <v>104.247527915549</v>
      </c>
      <c r="E7" s="115">
        <v>118.66391863801476</v>
      </c>
      <c r="F7" s="115">
        <v>79.348811824603601</v>
      </c>
      <c r="G7" s="115">
        <v>43.927035311853729</v>
      </c>
      <c r="H7" s="115">
        <v>14.029813101311211</v>
      </c>
      <c r="I7" s="116">
        <v>393.47234915984239</v>
      </c>
      <c r="J7" s="115">
        <v>30.1</v>
      </c>
      <c r="K7" s="115">
        <v>10.5</v>
      </c>
      <c r="L7" s="115">
        <v>40.3402237295088</v>
      </c>
      <c r="M7" s="117">
        <v>434</v>
      </c>
      <c r="N7" s="80"/>
      <c r="O7" s="115">
        <v>69.5</v>
      </c>
      <c r="P7" s="115">
        <v>7.1</v>
      </c>
      <c r="Q7" s="120">
        <v>71</v>
      </c>
      <c r="R7" s="80"/>
      <c r="S7" s="122">
        <v>505</v>
      </c>
    </row>
    <row r="8" spans="1:20" ht="20.149999999999999" customHeight="1" x14ac:dyDescent="0.35">
      <c r="A8" s="113" t="s">
        <v>4</v>
      </c>
      <c r="C8" s="115">
        <v>0.48584920474484183</v>
      </c>
      <c r="D8" s="115">
        <v>0.44117574059853948</v>
      </c>
      <c r="E8" s="115">
        <v>0.1017361204706809</v>
      </c>
      <c r="F8" s="115">
        <v>3.1455986174002831E-2</v>
      </c>
      <c r="G8" s="115">
        <v>8.8111703866159075E-2</v>
      </c>
      <c r="H8" s="115">
        <v>0.18863386604672375</v>
      </c>
      <c r="I8" s="116">
        <v>1.3369626219009481</v>
      </c>
      <c r="J8" s="115">
        <v>0</v>
      </c>
      <c r="K8" s="115">
        <v>7.2</v>
      </c>
      <c r="L8" s="115">
        <v>0.18568925304179834</v>
      </c>
      <c r="M8" s="117">
        <v>2</v>
      </c>
      <c r="O8" s="115">
        <v>1.5</v>
      </c>
      <c r="P8" s="115">
        <v>3.8000000000000003</v>
      </c>
      <c r="Q8" s="120">
        <v>1</v>
      </c>
      <c r="S8" s="122">
        <v>3</v>
      </c>
    </row>
    <row r="9" spans="1:20" ht="20.149999999999999" customHeight="1" x14ac:dyDescent="0.35">
      <c r="A9" s="113" t="s">
        <v>5</v>
      </c>
      <c r="C9" s="115">
        <v>1.5171730224980975</v>
      </c>
      <c r="D9" s="115">
        <v>9.2205750626098535</v>
      </c>
      <c r="E9" s="115">
        <v>2.8235558716583604</v>
      </c>
      <c r="F9" s="115">
        <v>3.2902530680510202</v>
      </c>
      <c r="G9" s="115">
        <v>2.3757882308077636</v>
      </c>
      <c r="H9" s="115">
        <v>0.83587356427419501</v>
      </c>
      <c r="I9" s="116">
        <v>20.063218819899291</v>
      </c>
      <c r="J9" s="115">
        <v>0</v>
      </c>
      <c r="K9" s="115">
        <v>7.2</v>
      </c>
      <c r="L9" s="115">
        <v>2.7865581694304571</v>
      </c>
      <c r="M9" s="117">
        <v>23</v>
      </c>
      <c r="O9" s="115">
        <v>3.39</v>
      </c>
      <c r="P9" s="115">
        <v>3.8000000000000003</v>
      </c>
      <c r="Q9" s="120">
        <v>7</v>
      </c>
      <c r="S9" s="122">
        <v>30</v>
      </c>
    </row>
    <row r="10" spans="1:20" ht="20.149999999999999" customHeight="1" x14ac:dyDescent="0.35">
      <c r="A10" s="113" t="s">
        <v>19</v>
      </c>
      <c r="C10" s="115">
        <v>6.1538858764586504</v>
      </c>
      <c r="D10" s="115">
        <v>35.623707750159511</v>
      </c>
      <c r="E10" s="115">
        <v>15.543011250982184</v>
      </c>
      <c r="F10" s="115">
        <v>16.013833596042328</v>
      </c>
      <c r="G10" s="115">
        <v>12.848627505554207</v>
      </c>
      <c r="H10" s="115">
        <v>4.4963021465290751</v>
      </c>
      <c r="I10" s="116">
        <v>90.679368125725958</v>
      </c>
      <c r="J10" s="115">
        <v>1</v>
      </c>
      <c r="K10" s="115">
        <v>8</v>
      </c>
      <c r="L10" s="115">
        <v>11.459921015715745</v>
      </c>
      <c r="M10" s="117">
        <v>103</v>
      </c>
      <c r="O10" s="115">
        <v>17.169999999999995</v>
      </c>
      <c r="P10" s="115">
        <v>5.5</v>
      </c>
      <c r="Q10" s="120">
        <v>22</v>
      </c>
      <c r="S10" s="122">
        <v>125</v>
      </c>
    </row>
    <row r="11" spans="1:20" ht="20.149999999999999" customHeight="1" x14ac:dyDescent="0.35">
      <c r="A11" s="113" t="s">
        <v>6</v>
      </c>
      <c r="B11" s="82"/>
      <c r="C11" s="115">
        <v>0.94055521533591246</v>
      </c>
      <c r="D11" s="115">
        <v>5.7199708981889366</v>
      </c>
      <c r="E11" s="115">
        <v>2.7957639380548103</v>
      </c>
      <c r="F11" s="115">
        <v>3.6860613229392483</v>
      </c>
      <c r="G11" s="115">
        <v>2.3935905216800721</v>
      </c>
      <c r="H11" s="115">
        <v>1.2931429341867497</v>
      </c>
      <c r="I11" s="116">
        <v>16.829084830385728</v>
      </c>
      <c r="J11" s="115">
        <v>0.25</v>
      </c>
      <c r="K11" s="115">
        <v>7.2</v>
      </c>
      <c r="L11" s="115">
        <v>2.372095115331351</v>
      </c>
      <c r="M11" s="117">
        <v>20</v>
      </c>
      <c r="N11" s="82"/>
      <c r="O11" s="115">
        <v>2.95</v>
      </c>
      <c r="P11" s="115">
        <v>3.8000000000000003</v>
      </c>
      <c r="Q11" s="120">
        <v>7</v>
      </c>
      <c r="R11" s="82"/>
      <c r="S11" s="122">
        <v>27</v>
      </c>
    </row>
    <row r="12" spans="1:20" ht="20.149999999999999" customHeight="1" x14ac:dyDescent="0.35">
      <c r="A12" s="113" t="s">
        <v>7</v>
      </c>
      <c r="C12" s="115">
        <v>2.1822748175365718</v>
      </c>
      <c r="D12" s="115">
        <v>5.9694344326719815</v>
      </c>
      <c r="E12" s="115">
        <v>0.83127461684937853</v>
      </c>
      <c r="F12" s="115">
        <v>1.6147141422744213</v>
      </c>
      <c r="G12" s="115">
        <v>0.83341144771747833</v>
      </c>
      <c r="H12" s="115">
        <v>0.53844616850068183</v>
      </c>
      <c r="I12" s="116">
        <v>11.969555625550514</v>
      </c>
      <c r="J12" s="115">
        <v>0</v>
      </c>
      <c r="K12" s="115">
        <v>7.2</v>
      </c>
      <c r="L12" s="115">
        <v>1.6624382813264602</v>
      </c>
      <c r="M12" s="117">
        <v>14</v>
      </c>
      <c r="O12" s="115">
        <v>0.99999999999999989</v>
      </c>
      <c r="P12" s="115">
        <v>3.8000000000000003</v>
      </c>
      <c r="Q12" s="120">
        <v>4</v>
      </c>
      <c r="S12" s="122">
        <v>18</v>
      </c>
    </row>
    <row r="13" spans="1:20" ht="20.149999999999999" customHeight="1" x14ac:dyDescent="0.35">
      <c r="A13" s="113" t="s">
        <v>41</v>
      </c>
      <c r="C13" s="115">
        <v>15.582966503889734</v>
      </c>
      <c r="D13" s="115">
        <v>63.378395879182513</v>
      </c>
      <c r="E13" s="115">
        <v>71.347155213421004</v>
      </c>
      <c r="F13" s="115">
        <v>61.251783242659698</v>
      </c>
      <c r="G13" s="115">
        <v>38.348005957134262</v>
      </c>
      <c r="H13" s="115">
        <v>14.262240176440574</v>
      </c>
      <c r="I13" s="116">
        <v>264.17054697272778</v>
      </c>
      <c r="J13" s="115">
        <v>10.199999999999999</v>
      </c>
      <c r="K13" s="115">
        <v>9.8000000000000007</v>
      </c>
      <c r="L13" s="115">
        <v>27.996994589053852</v>
      </c>
      <c r="M13" s="117">
        <v>293</v>
      </c>
      <c r="O13" s="115">
        <v>17.39</v>
      </c>
      <c r="P13" s="115">
        <v>7.1000000000000005</v>
      </c>
      <c r="Q13" s="120">
        <v>44</v>
      </c>
      <c r="S13" s="122">
        <v>337</v>
      </c>
    </row>
    <row r="14" spans="1:20" ht="20.149999999999999" customHeight="1" x14ac:dyDescent="0.35">
      <c r="A14" s="113" t="s">
        <v>8</v>
      </c>
      <c r="C14" s="115">
        <v>1.6087719887588787</v>
      </c>
      <c r="D14" s="115">
        <v>8.0736147515536736</v>
      </c>
      <c r="E14" s="115">
        <v>1.7755649582509718</v>
      </c>
      <c r="F14" s="115">
        <v>3.1672552459305328</v>
      </c>
      <c r="G14" s="115">
        <v>1.7851167093827198</v>
      </c>
      <c r="H14" s="115">
        <v>1.8376120882690374</v>
      </c>
      <c r="I14" s="116">
        <v>18.247935742145813</v>
      </c>
      <c r="J14" s="115">
        <v>0</v>
      </c>
      <c r="K14" s="115">
        <v>7.2</v>
      </c>
      <c r="L14" s="115">
        <v>2.5344355197424742</v>
      </c>
      <c r="M14" s="117">
        <v>21</v>
      </c>
      <c r="O14" s="115">
        <v>3</v>
      </c>
      <c r="P14" s="115">
        <v>3.8000000000000003</v>
      </c>
      <c r="Q14" s="120">
        <v>7</v>
      </c>
      <c r="S14" s="122">
        <v>28</v>
      </c>
    </row>
    <row r="15" spans="1:20" ht="20.149999999999999" customHeight="1" x14ac:dyDescent="0.35">
      <c r="A15" s="113" t="s">
        <v>20</v>
      </c>
      <c r="C15" s="115">
        <v>4.8543812098342638</v>
      </c>
      <c r="D15" s="115">
        <v>16.355280772273552</v>
      </c>
      <c r="E15" s="115">
        <v>11.931462188046453</v>
      </c>
      <c r="F15" s="115">
        <v>12.05909478705469</v>
      </c>
      <c r="G15" s="115">
        <v>6.881690543010043</v>
      </c>
      <c r="H15" s="115">
        <v>2.759565533641458</v>
      </c>
      <c r="I15" s="116">
        <v>54.841475033860462</v>
      </c>
      <c r="J15" s="115">
        <v>0</v>
      </c>
      <c r="K15" s="115">
        <v>8</v>
      </c>
      <c r="L15" s="115">
        <v>6.8551843792325577</v>
      </c>
      <c r="M15" s="117">
        <v>62</v>
      </c>
      <c r="O15" s="115">
        <v>2.34</v>
      </c>
      <c r="P15" s="115">
        <v>5.5</v>
      </c>
      <c r="Q15" s="120">
        <v>12</v>
      </c>
      <c r="S15" s="122">
        <v>74</v>
      </c>
    </row>
    <row r="16" spans="1:20" ht="20.149999999999999" customHeight="1" x14ac:dyDescent="0.35">
      <c r="A16" s="113" t="s">
        <v>42</v>
      </c>
      <c r="C16" s="115">
        <v>16.130044657957043</v>
      </c>
      <c r="D16" s="115">
        <v>161.31901922775529</v>
      </c>
      <c r="E16" s="115">
        <v>65.992148849669192</v>
      </c>
      <c r="F16" s="115">
        <v>77.745485413111993</v>
      </c>
      <c r="G16" s="115">
        <v>30.109700442971352</v>
      </c>
      <c r="H16" s="115">
        <v>26.435803936803559</v>
      </c>
      <c r="I16" s="116">
        <v>377.73220252826843</v>
      </c>
      <c r="J16" s="115">
        <v>7.65</v>
      </c>
      <c r="K16" s="115">
        <v>9.8000000000000007</v>
      </c>
      <c r="L16" s="115">
        <v>39.324714543700857</v>
      </c>
      <c r="M16" s="117">
        <v>418</v>
      </c>
      <c r="O16" s="115">
        <v>18.8</v>
      </c>
      <c r="P16" s="115">
        <v>7.1000000000000005</v>
      </c>
      <c r="Q16" s="120">
        <v>62</v>
      </c>
      <c r="S16" s="122">
        <v>480</v>
      </c>
    </row>
    <row r="17" spans="1:19" ht="20.149999999999999" customHeight="1" x14ac:dyDescent="0.35">
      <c r="A17" s="113" t="s">
        <v>9</v>
      </c>
      <c r="B17" s="82"/>
      <c r="C17" s="115">
        <v>1.5543339226069679</v>
      </c>
      <c r="D17" s="115">
        <v>6.6101780019630461</v>
      </c>
      <c r="E17" s="115">
        <v>1.4708367790618944</v>
      </c>
      <c r="F17" s="115">
        <v>2.5717686657281869</v>
      </c>
      <c r="G17" s="115">
        <v>1.3439140772817197</v>
      </c>
      <c r="H17" s="115">
        <v>0.6406393611374106</v>
      </c>
      <c r="I17" s="116">
        <v>14.191670807779225</v>
      </c>
      <c r="J17" s="115">
        <v>0.5</v>
      </c>
      <c r="K17" s="115">
        <v>7.2</v>
      </c>
      <c r="L17" s="115">
        <v>2.0405098344137813</v>
      </c>
      <c r="M17" s="117">
        <v>17</v>
      </c>
      <c r="N17" s="82"/>
      <c r="O17" s="115">
        <v>4.2</v>
      </c>
      <c r="P17" s="115">
        <v>3.8000000000000003</v>
      </c>
      <c r="Q17" s="120">
        <v>6</v>
      </c>
      <c r="R17" s="82"/>
      <c r="S17" s="122">
        <v>23</v>
      </c>
    </row>
    <row r="18" spans="1:19" ht="20.149999999999999" customHeight="1" x14ac:dyDescent="0.35">
      <c r="A18" s="113" t="s">
        <v>21</v>
      </c>
      <c r="C18" s="115">
        <v>4.3641888965520881</v>
      </c>
      <c r="D18" s="115">
        <v>24.779283554806749</v>
      </c>
      <c r="E18" s="115">
        <v>9.4241363316623978</v>
      </c>
      <c r="F18" s="115">
        <v>11.717305121929583</v>
      </c>
      <c r="G18" s="115">
        <v>7.921038165067305</v>
      </c>
      <c r="H18" s="115">
        <v>4.2892958636674638</v>
      </c>
      <c r="I18" s="116">
        <v>62.49524793368559</v>
      </c>
      <c r="J18" s="115">
        <v>0</v>
      </c>
      <c r="K18" s="115">
        <v>8</v>
      </c>
      <c r="L18" s="115">
        <v>7.8119059917106988</v>
      </c>
      <c r="M18" s="117">
        <v>71</v>
      </c>
      <c r="O18" s="115">
        <v>2.4</v>
      </c>
      <c r="P18" s="115">
        <v>5.5</v>
      </c>
      <c r="Q18" s="120">
        <v>14</v>
      </c>
      <c r="S18" s="122">
        <v>85</v>
      </c>
    </row>
    <row r="19" spans="1:19" ht="20.149999999999999" customHeight="1" x14ac:dyDescent="0.35">
      <c r="A19" s="113" t="s">
        <v>22</v>
      </c>
      <c r="C19" s="115">
        <v>12.207480921275154</v>
      </c>
      <c r="D19" s="115">
        <v>23.287680032840065</v>
      </c>
      <c r="E19" s="115">
        <v>8.8833103883402931</v>
      </c>
      <c r="F19" s="115">
        <v>15.16858575056372</v>
      </c>
      <c r="G19" s="115">
        <v>5.4701123169967207</v>
      </c>
      <c r="H19" s="115">
        <v>3.9899137396235749</v>
      </c>
      <c r="I19" s="116">
        <v>69.007083149639527</v>
      </c>
      <c r="J19" s="115">
        <v>2</v>
      </c>
      <c r="K19" s="115">
        <v>8</v>
      </c>
      <c r="L19" s="115">
        <v>8.8758853937049409</v>
      </c>
      <c r="M19" s="117">
        <v>78</v>
      </c>
      <c r="O19" s="115">
        <v>12.149999999999999</v>
      </c>
      <c r="P19" s="115">
        <v>5.5</v>
      </c>
      <c r="Q19" s="120">
        <v>17</v>
      </c>
      <c r="S19" s="122">
        <v>95</v>
      </c>
    </row>
    <row r="20" spans="1:19" ht="20.149999999999999" customHeight="1" x14ac:dyDescent="0.35">
      <c r="A20" s="113" t="s">
        <v>10</v>
      </c>
      <c r="C20" s="115">
        <v>3.4340061688757819</v>
      </c>
      <c r="D20" s="115">
        <v>5.418809899857342</v>
      </c>
      <c r="E20" s="115">
        <v>1.0712715663125718</v>
      </c>
      <c r="F20" s="115">
        <v>1.7029905605953424</v>
      </c>
      <c r="G20" s="115">
        <v>0.93565895119002718</v>
      </c>
      <c r="H20" s="115">
        <v>0.51667778045017165</v>
      </c>
      <c r="I20" s="116">
        <v>13.079414927281237</v>
      </c>
      <c r="J20" s="115">
        <v>0.25</v>
      </c>
      <c r="K20" s="115">
        <v>7.2</v>
      </c>
      <c r="L20" s="115">
        <v>1.8513076287890606</v>
      </c>
      <c r="M20" s="117">
        <v>15</v>
      </c>
      <c r="O20" s="115">
        <v>4.5599999999999996</v>
      </c>
      <c r="P20" s="115">
        <v>3.8000000000000003</v>
      </c>
      <c r="Q20" s="120">
        <v>6</v>
      </c>
      <c r="S20" s="122">
        <v>21</v>
      </c>
    </row>
    <row r="21" spans="1:19" ht="20.149999999999999" customHeight="1" x14ac:dyDescent="0.35">
      <c r="A21" s="113" t="s">
        <v>43</v>
      </c>
      <c r="C21" s="115">
        <v>18.935035356418062</v>
      </c>
      <c r="D21" s="115">
        <v>179.03933902715559</v>
      </c>
      <c r="E21" s="115">
        <v>56.912284355383662</v>
      </c>
      <c r="F21" s="115">
        <v>76.844511141853246</v>
      </c>
      <c r="G21" s="115">
        <v>33.150357799707642</v>
      </c>
      <c r="H21" s="115">
        <v>19.588025497753527</v>
      </c>
      <c r="I21" s="116">
        <v>384.46955317827172</v>
      </c>
      <c r="J21" s="115">
        <v>15</v>
      </c>
      <c r="K21" s="115">
        <v>9.8000000000000007</v>
      </c>
      <c r="L21" s="115">
        <v>40.762199303905277</v>
      </c>
      <c r="M21" s="117">
        <v>426</v>
      </c>
      <c r="O21" s="115">
        <v>54</v>
      </c>
      <c r="P21" s="115">
        <v>7.1000000000000005</v>
      </c>
      <c r="Q21" s="120">
        <v>68</v>
      </c>
      <c r="S21" s="122">
        <v>494</v>
      </c>
    </row>
    <row r="22" spans="1:19" ht="20.149999999999999" customHeight="1" x14ac:dyDescent="0.35">
      <c r="A22" s="113" t="s">
        <v>23</v>
      </c>
      <c r="C22" s="115">
        <v>4.944577513265263</v>
      </c>
      <c r="D22" s="115">
        <v>43.772426173678767</v>
      </c>
      <c r="E22" s="115">
        <v>7.927583064337429</v>
      </c>
      <c r="F22" s="115">
        <v>14.79450609526287</v>
      </c>
      <c r="G22" s="115">
        <v>5.6071367191402226</v>
      </c>
      <c r="H22" s="115">
        <v>4.5628826544234364</v>
      </c>
      <c r="I22" s="116">
        <v>81.609112220107988</v>
      </c>
      <c r="J22" s="115">
        <v>1.6</v>
      </c>
      <c r="K22" s="115">
        <v>8</v>
      </c>
      <c r="L22" s="115">
        <v>10.401139027513498</v>
      </c>
      <c r="M22" s="117">
        <v>93</v>
      </c>
      <c r="O22" s="115">
        <v>5.6000000000000005</v>
      </c>
      <c r="P22" s="115">
        <v>5.5</v>
      </c>
      <c r="Q22" s="120">
        <v>18</v>
      </c>
      <c r="S22" s="122">
        <v>111</v>
      </c>
    </row>
    <row r="23" spans="1:19" ht="20.149999999999999" customHeight="1" x14ac:dyDescent="0.35">
      <c r="A23" s="113" t="s">
        <v>24</v>
      </c>
      <c r="C23" s="115">
        <v>1.7229984482020548</v>
      </c>
      <c r="D23" s="115">
        <v>18.365796256038127</v>
      </c>
      <c r="E23" s="115">
        <v>6.3777664437761885</v>
      </c>
      <c r="F23" s="115">
        <v>7.5768224706453013</v>
      </c>
      <c r="G23" s="115">
        <v>5.0257254140362413</v>
      </c>
      <c r="H23" s="115">
        <v>1.1424567631249922</v>
      </c>
      <c r="I23" s="116">
        <v>40.211565795822899</v>
      </c>
      <c r="J23" s="115">
        <v>0.25</v>
      </c>
      <c r="K23" s="115">
        <v>8</v>
      </c>
      <c r="L23" s="115">
        <v>5.0576957244778624</v>
      </c>
      <c r="M23" s="117">
        <v>46</v>
      </c>
      <c r="O23" s="115">
        <v>1.9500000000000002</v>
      </c>
      <c r="P23" s="115">
        <v>5.5</v>
      </c>
      <c r="Q23" s="120">
        <v>9</v>
      </c>
      <c r="S23" s="122">
        <v>55</v>
      </c>
    </row>
    <row r="24" spans="1:19" ht="20.149999999999999" customHeight="1" x14ac:dyDescent="0.35">
      <c r="A24" s="113" t="s">
        <v>11</v>
      </c>
      <c r="C24" s="115">
        <v>1.8225779697541435</v>
      </c>
      <c r="D24" s="115">
        <v>5.4678874683107583</v>
      </c>
      <c r="E24" s="115">
        <v>1.3036294100769321</v>
      </c>
      <c r="F24" s="115">
        <v>2.6637199677899606</v>
      </c>
      <c r="G24" s="115">
        <v>1.1806154184706972</v>
      </c>
      <c r="H24" s="115">
        <v>0.96666461602356757</v>
      </c>
      <c r="I24" s="116">
        <v>13.40509485042606</v>
      </c>
      <c r="J24" s="115">
        <v>0</v>
      </c>
      <c r="K24" s="115">
        <v>7.2</v>
      </c>
      <c r="L24" s="115">
        <v>1.8618187292258417</v>
      </c>
      <c r="M24" s="117">
        <v>16</v>
      </c>
      <c r="O24" s="115">
        <v>1.3</v>
      </c>
      <c r="P24" s="115">
        <v>3.8000000000000003</v>
      </c>
      <c r="Q24" s="120">
        <v>5</v>
      </c>
      <c r="S24" s="122">
        <v>21</v>
      </c>
    </row>
    <row r="25" spans="1:19" ht="20.149999999999999" customHeight="1" x14ac:dyDescent="0.35">
      <c r="A25" s="113" t="s">
        <v>54</v>
      </c>
      <c r="C25" s="115">
        <v>182.48979536614243</v>
      </c>
      <c r="D25" s="115">
        <v>842.84579481968228</v>
      </c>
      <c r="E25" s="115">
        <v>1052.6508842685375</v>
      </c>
      <c r="F25" s="115">
        <v>688.79728699160773</v>
      </c>
      <c r="G25" s="115">
        <v>373.95242400225095</v>
      </c>
      <c r="H25" s="115">
        <v>281.13916473372058</v>
      </c>
      <c r="I25" s="116">
        <v>3421.8753501819419</v>
      </c>
      <c r="J25" s="115">
        <v>253</v>
      </c>
      <c r="K25" s="115">
        <v>10.5</v>
      </c>
      <c r="L25" s="115">
        <v>349.98812858875635</v>
      </c>
      <c r="M25" s="117">
        <v>3772</v>
      </c>
      <c r="O25" s="115">
        <v>472</v>
      </c>
      <c r="P25" s="115">
        <v>7.1</v>
      </c>
      <c r="Q25" s="120">
        <v>598</v>
      </c>
      <c r="S25" s="122">
        <v>4370</v>
      </c>
    </row>
    <row r="26" spans="1:19" ht="20.149999999999999" customHeight="1" x14ac:dyDescent="0.35">
      <c r="A26" s="113" t="s">
        <v>25</v>
      </c>
      <c r="C26" s="115">
        <v>5.682340380834602</v>
      </c>
      <c r="D26" s="115">
        <v>33.435274982047972</v>
      </c>
      <c r="E26" s="115">
        <v>10.11469458413108</v>
      </c>
      <c r="F26" s="115">
        <v>18.957929868009675</v>
      </c>
      <c r="G26" s="115">
        <v>5.0967874546900882</v>
      </c>
      <c r="H26" s="115">
        <v>6.3105422283018795</v>
      </c>
      <c r="I26" s="116">
        <v>79.597569498015304</v>
      </c>
      <c r="J26" s="115">
        <v>3</v>
      </c>
      <c r="K26" s="115">
        <v>8</v>
      </c>
      <c r="L26" s="115">
        <v>10.324696187251913</v>
      </c>
      <c r="M26" s="117">
        <v>90</v>
      </c>
      <c r="O26" s="115">
        <v>5.66</v>
      </c>
      <c r="P26" s="115">
        <v>5.5</v>
      </c>
      <c r="Q26" s="120">
        <v>18</v>
      </c>
      <c r="S26" s="122">
        <v>108</v>
      </c>
    </row>
    <row r="27" spans="1:19" ht="20.149999999999999" customHeight="1" x14ac:dyDescent="0.35">
      <c r="A27" s="113" t="s">
        <v>26</v>
      </c>
      <c r="C27" s="115">
        <v>9.7922273222137655</v>
      </c>
      <c r="D27" s="115">
        <v>21.999236537963881</v>
      </c>
      <c r="E27" s="115">
        <v>15.280400737277008</v>
      </c>
      <c r="F27" s="115">
        <v>11.976811341744488</v>
      </c>
      <c r="G27" s="115">
        <v>11.647005018545864</v>
      </c>
      <c r="H27" s="115">
        <v>1.8289251160016322</v>
      </c>
      <c r="I27" s="116">
        <v>72.524606073746639</v>
      </c>
      <c r="J27" s="115">
        <v>5</v>
      </c>
      <c r="K27" s="115">
        <v>8</v>
      </c>
      <c r="L27" s="115">
        <v>9.6905757592183299</v>
      </c>
      <c r="M27" s="117">
        <v>83</v>
      </c>
      <c r="O27" s="115">
        <v>6.8</v>
      </c>
      <c r="P27" s="115">
        <v>5.5</v>
      </c>
      <c r="Q27" s="120">
        <v>17</v>
      </c>
      <c r="S27" s="122">
        <v>100</v>
      </c>
    </row>
    <row r="28" spans="1:19" ht="20.149999999999999" customHeight="1" x14ac:dyDescent="0.35">
      <c r="A28" s="113" t="s">
        <v>12</v>
      </c>
      <c r="C28" s="115">
        <v>0.70738310482464484</v>
      </c>
      <c r="D28" s="115">
        <v>4.591037267077164</v>
      </c>
      <c r="E28" s="115">
        <v>0.67773991941158274</v>
      </c>
      <c r="F28" s="115">
        <v>1.1953359433168553</v>
      </c>
      <c r="G28" s="115">
        <v>0.92610687924883095</v>
      </c>
      <c r="H28" s="115">
        <v>0.3874076152151571</v>
      </c>
      <c r="I28" s="116">
        <v>8.4850107290942347</v>
      </c>
      <c r="J28" s="115">
        <v>0</v>
      </c>
      <c r="K28" s="115">
        <v>7.2</v>
      </c>
      <c r="L28" s="115">
        <v>1.1784737123741993</v>
      </c>
      <c r="M28" s="117">
        <v>10</v>
      </c>
      <c r="O28" s="115">
        <v>3.4</v>
      </c>
      <c r="P28" s="115">
        <v>3.8000000000000003</v>
      </c>
      <c r="Q28" s="120">
        <v>4</v>
      </c>
      <c r="S28" s="122">
        <v>14</v>
      </c>
    </row>
    <row r="29" spans="1:19" ht="20.149999999999999" customHeight="1" x14ac:dyDescent="0.35">
      <c r="A29" s="113" t="s">
        <v>27</v>
      </c>
      <c r="C29" s="115">
        <v>3.9767971458544729</v>
      </c>
      <c r="D29" s="115">
        <v>19.956454594194355</v>
      </c>
      <c r="E29" s="115">
        <v>6.4118864143172409</v>
      </c>
      <c r="F29" s="115">
        <v>7.0398916818133248</v>
      </c>
      <c r="G29" s="115">
        <v>4.4127474890164331</v>
      </c>
      <c r="H29" s="115">
        <v>3.1133277752368249</v>
      </c>
      <c r="I29" s="116">
        <v>44.91110510043265</v>
      </c>
      <c r="J29" s="115">
        <v>1</v>
      </c>
      <c r="K29" s="115">
        <v>8</v>
      </c>
      <c r="L29" s="115">
        <v>5.7388881375540812</v>
      </c>
      <c r="M29" s="117">
        <v>51</v>
      </c>
      <c r="O29" s="115">
        <v>3.4</v>
      </c>
      <c r="P29" s="115">
        <v>5.5</v>
      </c>
      <c r="Q29" s="120">
        <v>10</v>
      </c>
      <c r="S29" s="122">
        <v>61</v>
      </c>
    </row>
    <row r="30" spans="1:19" ht="20.149999999999999" customHeight="1" x14ac:dyDescent="0.35">
      <c r="A30" s="113" t="s">
        <v>28</v>
      </c>
      <c r="C30" s="115">
        <v>12.241748821452729</v>
      </c>
      <c r="D30" s="115">
        <v>43.215098442664896</v>
      </c>
      <c r="E30" s="115">
        <v>18.888635105757285</v>
      </c>
      <c r="F30" s="115">
        <v>23.174316752561154</v>
      </c>
      <c r="G30" s="115">
        <v>8.3026618730991135</v>
      </c>
      <c r="H30" s="115">
        <v>6.7907088489871068</v>
      </c>
      <c r="I30" s="116">
        <v>112.61316984452228</v>
      </c>
      <c r="J30" s="115">
        <v>2.5</v>
      </c>
      <c r="K30" s="115">
        <v>8</v>
      </c>
      <c r="L30" s="115">
        <v>14.389146230565284</v>
      </c>
      <c r="M30" s="117">
        <v>128</v>
      </c>
      <c r="O30" s="115">
        <v>11.5</v>
      </c>
      <c r="P30" s="115">
        <v>5.5</v>
      </c>
      <c r="Q30" s="120">
        <v>26</v>
      </c>
      <c r="S30" s="122">
        <v>154</v>
      </c>
    </row>
    <row r="31" spans="1:19" ht="20.149999999999999" customHeight="1" x14ac:dyDescent="0.35">
      <c r="A31" s="113" t="s">
        <v>13</v>
      </c>
      <c r="C31" s="115">
        <v>0.4791915613307014</v>
      </c>
      <c r="D31" s="115">
        <v>2.6860407060869043</v>
      </c>
      <c r="E31" s="115">
        <v>0.5219379070635054</v>
      </c>
      <c r="F31" s="115">
        <v>1.1376442316665085</v>
      </c>
      <c r="G31" s="115">
        <v>0.82029146668714636</v>
      </c>
      <c r="H31" s="115">
        <v>0.34573756703630637</v>
      </c>
      <c r="I31" s="116">
        <v>5.9908434398710719</v>
      </c>
      <c r="J31" s="115">
        <v>0</v>
      </c>
      <c r="K31" s="115">
        <v>7.2</v>
      </c>
      <c r="L31" s="115">
        <v>0.83206158887098214</v>
      </c>
      <c r="M31" s="117">
        <v>7</v>
      </c>
      <c r="O31" s="115">
        <v>2</v>
      </c>
      <c r="P31" s="115">
        <v>3.8000000000000003</v>
      </c>
      <c r="Q31" s="120">
        <v>3</v>
      </c>
      <c r="S31" s="122">
        <v>10</v>
      </c>
    </row>
    <row r="32" spans="1:19" ht="20.149999999999999" customHeight="1" x14ac:dyDescent="0.35">
      <c r="A32" s="113" t="s">
        <v>14</v>
      </c>
      <c r="C32" s="115">
        <v>2.7866371071949518</v>
      </c>
      <c r="D32" s="115">
        <v>3.0477597774611338</v>
      </c>
      <c r="E32" s="115">
        <v>0.81201102771586786</v>
      </c>
      <c r="F32" s="115">
        <v>0.7378823013789062</v>
      </c>
      <c r="G32" s="115">
        <v>0.37561704507529914</v>
      </c>
      <c r="H32" s="115">
        <v>0.19812981763488424</v>
      </c>
      <c r="I32" s="116">
        <v>7.9580370764610437</v>
      </c>
      <c r="J32" s="115">
        <v>0.65</v>
      </c>
      <c r="K32" s="115">
        <v>7.2</v>
      </c>
      <c r="L32" s="115">
        <v>1.1955607050640338</v>
      </c>
      <c r="M32" s="117">
        <v>10</v>
      </c>
      <c r="O32" s="115">
        <v>1.65</v>
      </c>
      <c r="P32" s="115">
        <v>3.8000000000000003</v>
      </c>
      <c r="Q32" s="120">
        <v>4</v>
      </c>
      <c r="S32" s="122">
        <v>14</v>
      </c>
    </row>
    <row r="33" spans="1:19" ht="20.149999999999999" customHeight="1" x14ac:dyDescent="0.35">
      <c r="A33" s="113" t="s">
        <v>44</v>
      </c>
      <c r="C33" s="115">
        <v>12.753148016024015</v>
      </c>
      <c r="D33" s="115">
        <v>69.518962195130257</v>
      </c>
      <c r="E33" s="115">
        <v>24.862524767822066</v>
      </c>
      <c r="F33" s="115">
        <v>27.524279152724556</v>
      </c>
      <c r="G33" s="115">
        <v>13.605592085935179</v>
      </c>
      <c r="H33" s="115">
        <v>6.2405887521608578</v>
      </c>
      <c r="I33" s="116">
        <v>154.50509496979691</v>
      </c>
      <c r="J33" s="115">
        <v>10.5</v>
      </c>
      <c r="K33" s="115">
        <v>9.8000000000000007</v>
      </c>
      <c r="L33" s="115">
        <v>16.837254588754785</v>
      </c>
      <c r="M33" s="117">
        <v>172</v>
      </c>
      <c r="O33" s="115">
        <v>15.2</v>
      </c>
      <c r="P33" s="115">
        <v>7.1000000000000005</v>
      </c>
      <c r="Q33" s="120">
        <v>27</v>
      </c>
      <c r="S33" s="122">
        <v>199</v>
      </c>
    </row>
    <row r="34" spans="1:19" ht="20.149999999999999" customHeight="1" x14ac:dyDescent="0.35">
      <c r="A34" s="113" t="s">
        <v>29</v>
      </c>
      <c r="C34" s="115">
        <v>2.7884077258265689</v>
      </c>
      <c r="D34" s="115">
        <v>17.534588865525613</v>
      </c>
      <c r="E34" s="115">
        <v>9.2797028103938093</v>
      </c>
      <c r="F34" s="115">
        <v>9.3772171807152169</v>
      </c>
      <c r="G34" s="115">
        <v>6.6447699968678871</v>
      </c>
      <c r="H34" s="115">
        <v>2.3104179912123626</v>
      </c>
      <c r="I34" s="116">
        <v>47.935104570541455</v>
      </c>
      <c r="J34" s="115">
        <v>3</v>
      </c>
      <c r="K34" s="115">
        <v>8</v>
      </c>
      <c r="L34" s="115">
        <v>6.3668880713176819</v>
      </c>
      <c r="M34" s="117">
        <v>55</v>
      </c>
      <c r="O34" s="115">
        <v>5.5</v>
      </c>
      <c r="P34" s="115">
        <v>5.5</v>
      </c>
      <c r="Q34" s="120">
        <v>11</v>
      </c>
      <c r="S34" s="122">
        <v>66</v>
      </c>
    </row>
    <row r="35" spans="1:19" ht="20.149999999999999" customHeight="1" x14ac:dyDescent="0.35">
      <c r="A35" s="113" t="s">
        <v>30</v>
      </c>
      <c r="C35" s="115">
        <v>3.1027990035197868</v>
      </c>
      <c r="D35" s="115">
        <v>12.225734663031947</v>
      </c>
      <c r="E35" s="115">
        <v>7.1815261947010356</v>
      </c>
      <c r="F35" s="115">
        <v>8.6858655033531118</v>
      </c>
      <c r="G35" s="115">
        <v>4.6111389789312476</v>
      </c>
      <c r="H35" s="115">
        <v>1.0770983186281895</v>
      </c>
      <c r="I35" s="116">
        <v>36.884162662165323</v>
      </c>
      <c r="J35" s="115">
        <v>0</v>
      </c>
      <c r="K35" s="115">
        <v>8</v>
      </c>
      <c r="L35" s="115">
        <v>4.6105203327706654</v>
      </c>
      <c r="M35" s="117">
        <v>42</v>
      </c>
      <c r="O35" s="115">
        <v>5.9</v>
      </c>
      <c r="P35" s="115">
        <v>5.5</v>
      </c>
      <c r="Q35" s="120">
        <v>9</v>
      </c>
      <c r="S35" s="122">
        <v>51</v>
      </c>
    </row>
    <row r="36" spans="1:19" ht="20.149999999999999" customHeight="1" x14ac:dyDescent="0.35">
      <c r="A36" s="113" t="s">
        <v>55</v>
      </c>
      <c r="C36" s="115">
        <v>53.756577245053272</v>
      </c>
      <c r="D36" s="115">
        <v>414.57819223965441</v>
      </c>
      <c r="E36" s="115">
        <v>252.37773408755814</v>
      </c>
      <c r="F36" s="115">
        <v>176.71041641611748</v>
      </c>
      <c r="G36" s="115">
        <v>84.906769446635352</v>
      </c>
      <c r="H36" s="115">
        <v>40.562855135165918</v>
      </c>
      <c r="I36" s="116">
        <v>1022.8925445701847</v>
      </c>
      <c r="J36" s="115">
        <v>60.4375</v>
      </c>
      <c r="K36" s="115">
        <v>10.5</v>
      </c>
      <c r="L36" s="115">
        <v>103.17428995906522</v>
      </c>
      <c r="M36" s="117">
        <v>1127</v>
      </c>
      <c r="O36" s="115">
        <v>159.79750000000001</v>
      </c>
      <c r="P36" s="115">
        <v>7.1</v>
      </c>
      <c r="Q36" s="120">
        <v>182</v>
      </c>
      <c r="S36" s="122">
        <v>1309</v>
      </c>
    </row>
    <row r="37" spans="1:19" ht="20.149999999999999" customHeight="1" x14ac:dyDescent="0.35">
      <c r="A37" s="113" t="s">
        <v>31</v>
      </c>
      <c r="C37" s="115">
        <v>9.3633933176898356</v>
      </c>
      <c r="D37" s="115">
        <v>45.910569874277968</v>
      </c>
      <c r="E37" s="115">
        <v>23.435341826254138</v>
      </c>
      <c r="F37" s="115">
        <v>24.331320924391086</v>
      </c>
      <c r="G37" s="115">
        <v>13.151210082198626</v>
      </c>
      <c r="H37" s="115">
        <v>4.573571451999463</v>
      </c>
      <c r="I37" s="116">
        <v>120.76540747681111</v>
      </c>
      <c r="J37" s="115">
        <v>2.5</v>
      </c>
      <c r="K37" s="115">
        <v>8</v>
      </c>
      <c r="L37" s="115">
        <v>15.408175934601388</v>
      </c>
      <c r="M37" s="117">
        <v>137</v>
      </c>
      <c r="O37" s="115">
        <v>8.5</v>
      </c>
      <c r="P37" s="115">
        <v>5.5</v>
      </c>
      <c r="Q37" s="120">
        <v>27</v>
      </c>
      <c r="S37" s="122">
        <v>164</v>
      </c>
    </row>
    <row r="38" spans="1:19" ht="20.149999999999999" customHeight="1" x14ac:dyDescent="0.35">
      <c r="A38" s="113" t="s">
        <v>15</v>
      </c>
      <c r="C38" s="115">
        <v>0.76902194614884578</v>
      </c>
      <c r="D38" s="115">
        <v>2.6965584470932518</v>
      </c>
      <c r="E38" s="115">
        <v>1.2476719741066491</v>
      </c>
      <c r="F38" s="115">
        <v>1.8735014635230778</v>
      </c>
      <c r="G38" s="115">
        <v>1.387127988586448</v>
      </c>
      <c r="H38" s="115">
        <v>0.61437599096921347</v>
      </c>
      <c r="I38" s="116">
        <v>8.5882578104274856</v>
      </c>
      <c r="J38" s="115">
        <v>0.05</v>
      </c>
      <c r="K38" s="115">
        <v>7.2</v>
      </c>
      <c r="L38" s="115">
        <v>1.1997580292260397</v>
      </c>
      <c r="M38" s="117">
        <v>10</v>
      </c>
      <c r="O38" s="115">
        <v>1.05</v>
      </c>
      <c r="P38" s="115">
        <v>3.8000000000000003</v>
      </c>
      <c r="Q38" s="120">
        <v>3</v>
      </c>
      <c r="S38" s="122">
        <v>13</v>
      </c>
    </row>
    <row r="39" spans="1:19" ht="20.149999999999999" customHeight="1" x14ac:dyDescent="0.35">
      <c r="A39" s="113" t="s">
        <v>56</v>
      </c>
      <c r="C39" s="115">
        <v>40.634005580923386</v>
      </c>
      <c r="D39" s="115">
        <v>270.36404945697393</v>
      </c>
      <c r="E39" s="115">
        <v>178.72297504999821</v>
      </c>
      <c r="F39" s="115">
        <v>174.04784500922358</v>
      </c>
      <c r="G39" s="115">
        <v>80.962117061048403</v>
      </c>
      <c r="H39" s="115">
        <v>53.683833777804516</v>
      </c>
      <c r="I39" s="116">
        <v>798.41482593597198</v>
      </c>
      <c r="J39" s="115">
        <v>39.399999999999984</v>
      </c>
      <c r="K39" s="115">
        <v>10.5</v>
      </c>
      <c r="L39" s="115">
        <v>79.79188818437828</v>
      </c>
      <c r="M39" s="117">
        <v>879</v>
      </c>
      <c r="O39" s="115">
        <v>120.4</v>
      </c>
      <c r="P39" s="115">
        <v>7.1</v>
      </c>
      <c r="Q39" s="120">
        <v>141</v>
      </c>
      <c r="S39" s="122">
        <v>1020</v>
      </c>
    </row>
    <row r="40" spans="1:19" ht="20.149999999999999" customHeight="1" x14ac:dyDescent="0.35">
      <c r="A40" s="113" t="s">
        <v>57</v>
      </c>
      <c r="C40" s="115">
        <v>24.568170027904618</v>
      </c>
      <c r="D40" s="115">
        <v>190.76982471606178</v>
      </c>
      <c r="E40" s="115">
        <v>125.12358900988782</v>
      </c>
      <c r="F40" s="115">
        <v>110.79722404227348</v>
      </c>
      <c r="G40" s="115">
        <v>56.556052912699073</v>
      </c>
      <c r="H40" s="115">
        <v>18.863637672960909</v>
      </c>
      <c r="I40" s="116">
        <v>526.67849838178768</v>
      </c>
      <c r="J40" s="115">
        <v>24.8</v>
      </c>
      <c r="K40" s="115">
        <v>10.5</v>
      </c>
      <c r="L40" s="115">
        <v>52.521761750646441</v>
      </c>
      <c r="M40" s="117">
        <v>580</v>
      </c>
      <c r="O40" s="115">
        <v>53.3</v>
      </c>
      <c r="P40" s="115">
        <v>7.1</v>
      </c>
      <c r="Q40" s="120">
        <v>90</v>
      </c>
      <c r="S40" s="122">
        <v>670</v>
      </c>
    </row>
    <row r="41" spans="1:19" ht="20.149999999999999" customHeight="1" x14ac:dyDescent="0.35">
      <c r="A41" s="113" t="s">
        <v>16</v>
      </c>
      <c r="C41" s="115">
        <v>1.173998005255898</v>
      </c>
      <c r="D41" s="115">
        <v>7.6361032102467812</v>
      </c>
      <c r="E41" s="115">
        <v>3.536948204110844</v>
      </c>
      <c r="F41" s="115">
        <v>4.5706486244438569</v>
      </c>
      <c r="G41" s="115">
        <v>1.9852933017735424</v>
      </c>
      <c r="H41" s="115">
        <v>0.86557132908083734</v>
      </c>
      <c r="I41" s="116">
        <v>19.76856267491176</v>
      </c>
      <c r="J41" s="115">
        <v>0</v>
      </c>
      <c r="K41" s="115">
        <v>7.2</v>
      </c>
      <c r="L41" s="115">
        <v>2.7456337048488555</v>
      </c>
      <c r="M41" s="117">
        <v>23</v>
      </c>
      <c r="O41" s="115">
        <v>1.5</v>
      </c>
      <c r="P41" s="115">
        <v>3.8000000000000003</v>
      </c>
      <c r="Q41" s="120">
        <v>7</v>
      </c>
      <c r="S41" s="122">
        <v>30</v>
      </c>
    </row>
    <row r="42" spans="1:19" ht="20.149999999999999" customHeight="1" x14ac:dyDescent="0.35">
      <c r="A42" s="113" t="s">
        <v>58</v>
      </c>
      <c r="C42" s="115">
        <v>27.712858743446645</v>
      </c>
      <c r="D42" s="115">
        <v>329.60659640642103</v>
      </c>
      <c r="E42" s="115">
        <v>181.15004429347823</v>
      </c>
      <c r="F42" s="115">
        <v>191.68574090582615</v>
      </c>
      <c r="G42" s="115">
        <v>80.638025674302526</v>
      </c>
      <c r="H42" s="115">
        <v>59.690906603167392</v>
      </c>
      <c r="I42" s="116">
        <v>870.48417262664202</v>
      </c>
      <c r="J42" s="115">
        <v>45</v>
      </c>
      <c r="K42" s="115">
        <v>10.5</v>
      </c>
      <c r="L42" s="115">
        <v>87.18896882158495</v>
      </c>
      <c r="M42" s="117">
        <v>958</v>
      </c>
      <c r="O42" s="115">
        <v>91.36</v>
      </c>
      <c r="P42" s="115">
        <v>7.1</v>
      </c>
      <c r="Q42" s="120">
        <v>148</v>
      </c>
      <c r="S42" s="122">
        <v>1106</v>
      </c>
    </row>
    <row r="43" spans="1:19" ht="20.149999999999999" customHeight="1" x14ac:dyDescent="0.35">
      <c r="A43" s="113" t="s">
        <v>59</v>
      </c>
      <c r="C43" s="115">
        <v>46.065313715542018</v>
      </c>
      <c r="D43" s="115">
        <v>266.84015236152078</v>
      </c>
      <c r="E43" s="115">
        <v>245.90468093557294</v>
      </c>
      <c r="F43" s="115">
        <v>221.26517506482818</v>
      </c>
      <c r="G43" s="115">
        <v>77.83311294531471</v>
      </c>
      <c r="H43" s="115">
        <v>27.934849417083015</v>
      </c>
      <c r="I43" s="116">
        <v>885.84328443986169</v>
      </c>
      <c r="J43" s="115">
        <v>35.991570881226053</v>
      </c>
      <c r="K43" s="115">
        <v>10.5</v>
      </c>
      <c r="L43" s="115">
        <v>87.793795744865491</v>
      </c>
      <c r="M43" s="117">
        <v>974</v>
      </c>
      <c r="O43" s="115">
        <v>96.536053639846742</v>
      </c>
      <c r="P43" s="115">
        <v>7.1</v>
      </c>
      <c r="Q43" s="120">
        <v>151</v>
      </c>
      <c r="S43" s="122">
        <v>1125</v>
      </c>
    </row>
    <row r="44" spans="1:19" ht="20.149999999999999" customHeight="1" x14ac:dyDescent="0.35">
      <c r="A44" s="113" t="s">
        <v>60</v>
      </c>
      <c r="C44" s="115">
        <v>9.9070697509724344</v>
      </c>
      <c r="D44" s="115">
        <v>54.855766075173676</v>
      </c>
      <c r="E44" s="115">
        <v>78.22650221048076</v>
      </c>
      <c r="F44" s="115">
        <v>34.038742141417217</v>
      </c>
      <c r="G44" s="115">
        <v>25.891142320565798</v>
      </c>
      <c r="H44" s="115">
        <v>9.3818446178200805</v>
      </c>
      <c r="I44" s="116">
        <v>212.30106711642998</v>
      </c>
      <c r="J44" s="115">
        <v>18.899999999999999</v>
      </c>
      <c r="K44" s="115">
        <v>9.8000000000000007</v>
      </c>
      <c r="L44" s="115">
        <v>23.591945624125508</v>
      </c>
      <c r="M44" s="117">
        <v>236</v>
      </c>
      <c r="O44" s="115">
        <v>29.900000000000002</v>
      </c>
      <c r="P44" s="115">
        <v>7.1000000000000005</v>
      </c>
      <c r="Q44" s="120">
        <v>38</v>
      </c>
      <c r="S44" s="122">
        <v>274</v>
      </c>
    </row>
    <row r="45" spans="1:19" ht="20.149999999999999" customHeight="1" x14ac:dyDescent="0.35">
      <c r="A45" s="113" t="s">
        <v>45</v>
      </c>
      <c r="C45" s="115">
        <v>22.543032671655677</v>
      </c>
      <c r="D45" s="115">
        <v>113.41971622645563</v>
      </c>
      <c r="E45" s="115">
        <v>52.030486886613538</v>
      </c>
      <c r="F45" s="115">
        <v>53.332297348241447</v>
      </c>
      <c r="G45" s="115">
        <v>27.552803084939171</v>
      </c>
      <c r="H45" s="115">
        <v>15.951992045785698</v>
      </c>
      <c r="I45" s="116">
        <v>284.83032826369117</v>
      </c>
      <c r="J45" s="115">
        <v>8</v>
      </c>
      <c r="K45" s="115">
        <v>9.8000000000000007</v>
      </c>
      <c r="L45" s="115">
        <v>29.880645741192975</v>
      </c>
      <c r="M45" s="117">
        <v>315</v>
      </c>
      <c r="O45" s="115">
        <v>14.74</v>
      </c>
      <c r="P45" s="115">
        <v>7.1000000000000005</v>
      </c>
      <c r="Q45" s="120">
        <v>47</v>
      </c>
      <c r="S45" s="122">
        <v>362</v>
      </c>
    </row>
    <row r="46" spans="1:19" ht="20.149999999999999" customHeight="1" x14ac:dyDescent="0.35">
      <c r="A46" s="113" t="s">
        <v>32</v>
      </c>
      <c r="C46" s="115">
        <v>10.82606375782175</v>
      </c>
      <c r="D46" s="115">
        <v>45.348965842606361</v>
      </c>
      <c r="E46" s="115">
        <v>14.13486241131838</v>
      </c>
      <c r="F46" s="115">
        <v>14.376431004073432</v>
      </c>
      <c r="G46" s="115">
        <v>11.933074137336201</v>
      </c>
      <c r="H46" s="115">
        <v>3.7260036856291388</v>
      </c>
      <c r="I46" s="116">
        <v>100.34540083878525</v>
      </c>
      <c r="J46" s="115">
        <v>5</v>
      </c>
      <c r="K46" s="115">
        <v>8</v>
      </c>
      <c r="L46" s="115">
        <v>13.168175104848157</v>
      </c>
      <c r="M46" s="117">
        <v>114</v>
      </c>
      <c r="O46" s="115">
        <v>8</v>
      </c>
      <c r="P46" s="115">
        <v>5.5</v>
      </c>
      <c r="Q46" s="120">
        <v>23</v>
      </c>
      <c r="S46" s="122">
        <v>137</v>
      </c>
    </row>
    <row r="47" spans="1:19" ht="20.149999999999999" customHeight="1" x14ac:dyDescent="0.35">
      <c r="A47" s="113" t="s">
        <v>46</v>
      </c>
      <c r="C47" s="115">
        <v>19.382730635887029</v>
      </c>
      <c r="D47" s="115">
        <v>70.347516974088563</v>
      </c>
      <c r="E47" s="115">
        <v>37.423988731321536</v>
      </c>
      <c r="F47" s="115">
        <v>29.099223485984503</v>
      </c>
      <c r="G47" s="115">
        <v>33.198328328386104</v>
      </c>
      <c r="H47" s="115">
        <v>5.5961057676108039</v>
      </c>
      <c r="I47" s="116">
        <v>195.04789392327854</v>
      </c>
      <c r="J47" s="115">
        <v>10.5</v>
      </c>
      <c r="K47" s="115">
        <v>9.8000000000000007</v>
      </c>
      <c r="L47" s="115">
        <v>20.974274890130463</v>
      </c>
      <c r="M47" s="117">
        <v>217</v>
      </c>
      <c r="O47" s="115">
        <v>17.5</v>
      </c>
      <c r="P47" s="115">
        <v>7.1000000000000005</v>
      </c>
      <c r="Q47" s="120">
        <v>34</v>
      </c>
      <c r="S47" s="122">
        <v>251</v>
      </c>
    </row>
    <row r="48" spans="1:19" ht="20.149999999999999" customHeight="1" x14ac:dyDescent="0.35">
      <c r="A48" s="113" t="s">
        <v>47</v>
      </c>
      <c r="C48" s="115">
        <v>15.180189254608491</v>
      </c>
      <c r="D48" s="115">
        <v>57.948703195790571</v>
      </c>
      <c r="E48" s="115">
        <v>23.472552888087787</v>
      </c>
      <c r="F48" s="115">
        <v>21.057605444093902</v>
      </c>
      <c r="G48" s="115">
        <v>14.702404577092091</v>
      </c>
      <c r="H48" s="115">
        <v>8.9823972687513809</v>
      </c>
      <c r="I48" s="116">
        <v>141.34385262842423</v>
      </c>
      <c r="J48" s="115">
        <v>12.25</v>
      </c>
      <c r="K48" s="115">
        <v>9.8000000000000007</v>
      </c>
      <c r="L48" s="115">
        <v>15.672842104941246</v>
      </c>
      <c r="M48" s="117">
        <v>158</v>
      </c>
      <c r="O48" s="115">
        <v>21.880000000000003</v>
      </c>
      <c r="P48" s="115">
        <v>7.1000000000000005</v>
      </c>
      <c r="Q48" s="120">
        <v>26</v>
      </c>
      <c r="S48" s="122">
        <v>184</v>
      </c>
    </row>
    <row r="49" spans="1:19" ht="20.149999999999999" customHeight="1" x14ac:dyDescent="0.35">
      <c r="A49" s="113" t="s">
        <v>61</v>
      </c>
      <c r="C49" s="115">
        <v>20.731675862506343</v>
      </c>
      <c r="D49" s="115">
        <v>159.2182963711706</v>
      </c>
      <c r="E49" s="115">
        <v>89.296521337442286</v>
      </c>
      <c r="F49" s="115">
        <v>78.330920165392342</v>
      </c>
      <c r="G49" s="115">
        <v>49.110251157034043</v>
      </c>
      <c r="H49" s="115">
        <v>13.717920071683558</v>
      </c>
      <c r="I49" s="116">
        <v>410.4055849652292</v>
      </c>
      <c r="J49" s="115">
        <v>18.5</v>
      </c>
      <c r="K49" s="115">
        <v>10.5</v>
      </c>
      <c r="L49" s="115">
        <v>40.848150949069449</v>
      </c>
      <c r="M49" s="117">
        <v>452</v>
      </c>
      <c r="O49" s="115">
        <v>30.549999999999997</v>
      </c>
      <c r="P49" s="115">
        <v>7.1</v>
      </c>
      <c r="Q49" s="120">
        <v>68</v>
      </c>
      <c r="S49" s="122">
        <v>520</v>
      </c>
    </row>
    <row r="50" spans="1:19" ht="20.149999999999999" customHeight="1" x14ac:dyDescent="0.35">
      <c r="A50" s="113" t="s">
        <v>33</v>
      </c>
      <c r="C50" s="115">
        <v>8.6136626923727384</v>
      </c>
      <c r="D50" s="115">
        <v>34.717814576544427</v>
      </c>
      <c r="E50" s="115">
        <v>14.592325456954251</v>
      </c>
      <c r="F50" s="115">
        <v>13.233643785972969</v>
      </c>
      <c r="G50" s="115">
        <v>8.4788717553766215</v>
      </c>
      <c r="H50" s="115">
        <v>3.1098404092512393</v>
      </c>
      <c r="I50" s="116">
        <v>82.746158676472234</v>
      </c>
      <c r="J50" s="115">
        <v>4</v>
      </c>
      <c r="K50" s="115">
        <v>8</v>
      </c>
      <c r="L50" s="115">
        <v>10.843269834559029</v>
      </c>
      <c r="M50" s="117">
        <v>94</v>
      </c>
      <c r="O50" s="115">
        <v>14.439</v>
      </c>
      <c r="P50" s="115">
        <v>5.5</v>
      </c>
      <c r="Q50" s="120">
        <v>20</v>
      </c>
      <c r="S50" s="122">
        <v>114</v>
      </c>
    </row>
    <row r="51" spans="1:19" ht="20.149999999999999" customHeight="1" x14ac:dyDescent="0.35">
      <c r="A51" s="113" t="s">
        <v>34</v>
      </c>
      <c r="C51" s="115">
        <v>8.9934746665186864</v>
      </c>
      <c r="D51" s="115">
        <v>45.257074498669525</v>
      </c>
      <c r="E51" s="115">
        <v>14.70958355142051</v>
      </c>
      <c r="F51" s="115">
        <v>17.649398153741714</v>
      </c>
      <c r="G51" s="115">
        <v>12.97566738742858</v>
      </c>
      <c r="H51" s="115">
        <v>5.221130669440651</v>
      </c>
      <c r="I51" s="116">
        <v>104.80632892721967</v>
      </c>
      <c r="J51" s="115">
        <v>1</v>
      </c>
      <c r="K51" s="115">
        <v>8</v>
      </c>
      <c r="L51" s="115">
        <v>13.225791115902458</v>
      </c>
      <c r="M51" s="117">
        <v>119</v>
      </c>
      <c r="O51" s="115">
        <v>55.499999999999993</v>
      </c>
      <c r="P51" s="115">
        <v>5.5</v>
      </c>
      <c r="Q51" s="120">
        <v>32</v>
      </c>
      <c r="S51" s="122">
        <v>151</v>
      </c>
    </row>
    <row r="52" spans="1:19" ht="20.149999999999999" customHeight="1" x14ac:dyDescent="0.35">
      <c r="A52" s="113" t="s">
        <v>17</v>
      </c>
      <c r="C52" s="115">
        <v>0.1311563330730488</v>
      </c>
      <c r="D52" s="115">
        <v>0.6482925478962237</v>
      </c>
      <c r="E52" s="115">
        <v>0.17853227433355728</v>
      </c>
      <c r="F52" s="115">
        <v>0.21243397204998626</v>
      </c>
      <c r="G52" s="115">
        <v>0.30404057032285825</v>
      </c>
      <c r="H52" s="115">
        <v>0.17872685778888048</v>
      </c>
      <c r="I52" s="116">
        <v>1.6531825554645549</v>
      </c>
      <c r="J52" s="115">
        <v>0</v>
      </c>
      <c r="K52" s="115">
        <v>7.2</v>
      </c>
      <c r="L52" s="115">
        <v>0.22960868825896597</v>
      </c>
      <c r="M52" s="117">
        <v>2</v>
      </c>
      <c r="O52" s="115">
        <v>1.71</v>
      </c>
      <c r="P52" s="115">
        <v>3.8000000000000003</v>
      </c>
      <c r="Q52" s="120">
        <v>1</v>
      </c>
      <c r="S52" s="122">
        <v>3</v>
      </c>
    </row>
    <row r="53" spans="1:19" ht="20.149999999999999" customHeight="1" x14ac:dyDescent="0.35">
      <c r="A53" s="113" t="s">
        <v>35</v>
      </c>
      <c r="C53" s="115">
        <v>2.8312595459686287</v>
      </c>
      <c r="D53" s="115">
        <v>11.856719007685367</v>
      </c>
      <c r="E53" s="115">
        <v>3.1564174888875214</v>
      </c>
      <c r="F53" s="115">
        <v>4.3579019341586225</v>
      </c>
      <c r="G53" s="115">
        <v>3.4995939164314058</v>
      </c>
      <c r="H53" s="115">
        <v>1.2660916300852443</v>
      </c>
      <c r="I53" s="116">
        <v>26.967983523216791</v>
      </c>
      <c r="J53" s="115">
        <v>0.05</v>
      </c>
      <c r="K53" s="115">
        <v>8</v>
      </c>
      <c r="L53" s="115">
        <v>3.377247940402099</v>
      </c>
      <c r="M53" s="117">
        <v>31</v>
      </c>
      <c r="O53" s="115">
        <v>4.0999999999999988</v>
      </c>
      <c r="P53" s="115">
        <v>5.5</v>
      </c>
      <c r="Q53" s="120">
        <v>7</v>
      </c>
      <c r="S53" s="122">
        <v>38</v>
      </c>
    </row>
    <row r="54" spans="1:19" ht="20.149999999999999" customHeight="1" x14ac:dyDescent="0.35">
      <c r="A54" s="113" t="s">
        <v>48</v>
      </c>
      <c r="C54" s="115">
        <v>14.710156250000001</v>
      </c>
      <c r="D54" s="115">
        <v>45.715889223922723</v>
      </c>
      <c r="E54" s="115">
        <v>31.754720242026377</v>
      </c>
      <c r="F54" s="115">
        <v>34.019416825379864</v>
      </c>
      <c r="G54" s="115">
        <v>15.623921891232744</v>
      </c>
      <c r="H54" s="115">
        <v>5.4093977946151881</v>
      </c>
      <c r="I54" s="116">
        <v>147.2335022271769</v>
      </c>
      <c r="J54" s="115">
        <v>2</v>
      </c>
      <c r="K54" s="115">
        <v>9.8000000000000007</v>
      </c>
      <c r="L54" s="115">
        <v>15.227908390528254</v>
      </c>
      <c r="M54" s="117">
        <v>163</v>
      </c>
      <c r="O54" s="115">
        <v>7</v>
      </c>
      <c r="P54" s="115">
        <v>7.1000000000000005</v>
      </c>
      <c r="Q54" s="120">
        <v>24</v>
      </c>
      <c r="S54" s="122">
        <v>187</v>
      </c>
    </row>
    <row r="55" spans="1:19" ht="20.149999999999999" customHeight="1" x14ac:dyDescent="0.35">
      <c r="A55" s="113" t="s">
        <v>49</v>
      </c>
      <c r="C55" s="115">
        <v>11.816597010823607</v>
      </c>
      <c r="D55" s="115">
        <v>51.886775493809921</v>
      </c>
      <c r="E55" s="115">
        <v>26.597769503057901</v>
      </c>
      <c r="F55" s="115">
        <v>25.560983698738674</v>
      </c>
      <c r="G55" s="115">
        <v>23.184300981861028</v>
      </c>
      <c r="H55" s="115">
        <v>7.7174730302638128</v>
      </c>
      <c r="I55" s="116">
        <v>146.76389971855497</v>
      </c>
      <c r="J55" s="115">
        <v>6.5</v>
      </c>
      <c r="K55" s="115">
        <v>9.8000000000000007</v>
      </c>
      <c r="L55" s="115">
        <v>15.639173440668873</v>
      </c>
      <c r="M55" s="117">
        <v>163</v>
      </c>
      <c r="O55" s="115">
        <v>11.5</v>
      </c>
      <c r="P55" s="115">
        <v>7.1000000000000005</v>
      </c>
      <c r="Q55" s="120">
        <v>25</v>
      </c>
      <c r="S55" s="122">
        <v>188</v>
      </c>
    </row>
    <row r="56" spans="1:19" ht="20.149999999999999" customHeight="1" x14ac:dyDescent="0.35">
      <c r="A56" s="113" t="s">
        <v>50</v>
      </c>
      <c r="C56" s="115">
        <v>13.073388429096905</v>
      </c>
      <c r="D56" s="115">
        <v>76.633748643254393</v>
      </c>
      <c r="E56" s="115">
        <v>39.299244444072087</v>
      </c>
      <c r="F56" s="115">
        <v>41.543577979170344</v>
      </c>
      <c r="G56" s="115">
        <v>23.450331318661398</v>
      </c>
      <c r="H56" s="115">
        <v>7.9846842414451178</v>
      </c>
      <c r="I56" s="116">
        <v>201.98497505570026</v>
      </c>
      <c r="J56" s="115">
        <v>2.5</v>
      </c>
      <c r="K56" s="115">
        <v>9.8000000000000007</v>
      </c>
      <c r="L56" s="115">
        <v>20.865813781193904</v>
      </c>
      <c r="M56" s="117">
        <v>223</v>
      </c>
      <c r="O56" s="115">
        <v>7.6</v>
      </c>
      <c r="P56" s="115">
        <v>7.1000000000000005</v>
      </c>
      <c r="Q56" s="120">
        <v>33</v>
      </c>
      <c r="S56" s="122">
        <v>256</v>
      </c>
    </row>
    <row r="57" spans="1:19" ht="20.149999999999999" customHeight="1" x14ac:dyDescent="0.35">
      <c r="A57" s="113" t="s">
        <v>36</v>
      </c>
      <c r="C57" s="115">
        <v>3.5717648547163035</v>
      </c>
      <c r="D57" s="115">
        <v>22.990290262181819</v>
      </c>
      <c r="E57" s="115">
        <v>6.2656383773782842</v>
      </c>
      <c r="F57" s="115">
        <v>9.2566983882860345</v>
      </c>
      <c r="G57" s="115">
        <v>4.1525687564584421</v>
      </c>
      <c r="H57" s="115">
        <v>2.4075897050461936</v>
      </c>
      <c r="I57" s="116">
        <v>48.644550344067071</v>
      </c>
      <c r="J57" s="115">
        <v>0</v>
      </c>
      <c r="K57" s="115">
        <v>8</v>
      </c>
      <c r="L57" s="115">
        <v>6.0805687930083838</v>
      </c>
      <c r="M57" s="117">
        <v>55</v>
      </c>
      <c r="O57" s="115">
        <v>5.3</v>
      </c>
      <c r="P57" s="115">
        <v>5.5</v>
      </c>
      <c r="Q57" s="120">
        <v>11</v>
      </c>
      <c r="S57" s="122">
        <v>66</v>
      </c>
    </row>
    <row r="58" spans="1:19" ht="20.149999999999999" customHeight="1" x14ac:dyDescent="0.35">
      <c r="A58" s="113" t="s">
        <v>37</v>
      </c>
      <c r="C58" s="115">
        <v>2.5482223953048369</v>
      </c>
      <c r="D58" s="115">
        <v>17.983485387697975</v>
      </c>
      <c r="E58" s="115">
        <v>5.2636374496756284</v>
      </c>
      <c r="F58" s="115">
        <v>7.8803935064341761</v>
      </c>
      <c r="G58" s="115">
        <v>3.6809191216405184</v>
      </c>
      <c r="H58" s="115">
        <v>1.6756226733516169</v>
      </c>
      <c r="I58" s="116">
        <v>39.032280534104757</v>
      </c>
      <c r="J58" s="115">
        <v>1.25</v>
      </c>
      <c r="K58" s="115">
        <v>8</v>
      </c>
      <c r="L58" s="115">
        <v>5.0352850667630946</v>
      </c>
      <c r="M58" s="117">
        <v>45</v>
      </c>
      <c r="O58" s="115">
        <v>3.05</v>
      </c>
      <c r="P58" s="115">
        <v>5.5</v>
      </c>
      <c r="Q58" s="120">
        <v>9</v>
      </c>
      <c r="S58" s="122">
        <v>54</v>
      </c>
    </row>
    <row r="59" spans="1:19" ht="20.149999999999999" customHeight="1" x14ac:dyDescent="0.35">
      <c r="A59" s="113" t="s">
        <v>18</v>
      </c>
      <c r="C59" s="115">
        <v>0.58211365664769366</v>
      </c>
      <c r="D59" s="115">
        <v>4.055809722928819</v>
      </c>
      <c r="E59" s="115">
        <v>1.3640784764849185</v>
      </c>
      <c r="F59" s="115">
        <v>1.5816438126111405</v>
      </c>
      <c r="G59" s="115">
        <v>0.91675513735118042</v>
      </c>
      <c r="H59" s="115">
        <v>0.70177077599106685</v>
      </c>
      <c r="I59" s="116">
        <v>9.2021715820148184</v>
      </c>
      <c r="J59" s="115">
        <v>0</v>
      </c>
      <c r="K59" s="115">
        <v>7.2</v>
      </c>
      <c r="L59" s="115">
        <v>1.278079386390947</v>
      </c>
      <c r="M59" s="117">
        <v>11</v>
      </c>
      <c r="O59" s="115">
        <v>6</v>
      </c>
      <c r="P59" s="115">
        <v>3.8000000000000003</v>
      </c>
      <c r="Q59" s="120">
        <v>5</v>
      </c>
      <c r="S59" s="122">
        <v>16</v>
      </c>
    </row>
    <row r="60" spans="1:19" ht="20.149999999999999" customHeight="1" x14ac:dyDescent="0.35">
      <c r="A60" s="113" t="s">
        <v>51</v>
      </c>
      <c r="C60" s="115">
        <v>13.912450664848638</v>
      </c>
      <c r="D60" s="115">
        <v>89.66764674022842</v>
      </c>
      <c r="E60" s="115">
        <v>30.438417861606325</v>
      </c>
      <c r="F60" s="115">
        <v>39.710081419336419</v>
      </c>
      <c r="G60" s="115">
        <v>18.085369691927482</v>
      </c>
      <c r="H60" s="115">
        <v>14.226031616172694</v>
      </c>
      <c r="I60" s="116">
        <v>206.03999799411997</v>
      </c>
      <c r="J60" s="115">
        <v>3</v>
      </c>
      <c r="K60" s="115">
        <v>9.8000000000000007</v>
      </c>
      <c r="L60" s="115">
        <v>21.330612040216323</v>
      </c>
      <c r="M60" s="117">
        <v>228</v>
      </c>
      <c r="O60" s="115">
        <v>18</v>
      </c>
      <c r="P60" s="115">
        <v>7.1000000000000005</v>
      </c>
      <c r="Q60" s="120">
        <v>35</v>
      </c>
      <c r="S60" s="122">
        <v>263</v>
      </c>
    </row>
    <row r="61" spans="1:19" ht="20.149999999999999" customHeight="1" x14ac:dyDescent="0.35">
      <c r="A61" s="113" t="s">
        <v>38</v>
      </c>
      <c r="C61" s="115">
        <v>1.2949755405198293</v>
      </c>
      <c r="D61" s="115">
        <v>14.34929449677195</v>
      </c>
      <c r="E61" s="115">
        <v>4.4374404597494443</v>
      </c>
      <c r="F61" s="115">
        <v>4.4328253615223048</v>
      </c>
      <c r="G61" s="115">
        <v>3.262346582076026</v>
      </c>
      <c r="H61" s="115">
        <v>2.445262947742072</v>
      </c>
      <c r="I61" s="116">
        <v>30.222145388381627</v>
      </c>
      <c r="J61" s="115">
        <v>0</v>
      </c>
      <c r="K61" s="115">
        <v>8</v>
      </c>
      <c r="L61" s="115">
        <v>3.7777681735477033</v>
      </c>
      <c r="M61" s="117">
        <v>34</v>
      </c>
      <c r="O61" s="115">
        <v>1.8</v>
      </c>
      <c r="P61" s="115">
        <v>5.5</v>
      </c>
      <c r="Q61" s="120">
        <v>7</v>
      </c>
      <c r="S61" s="122">
        <v>41</v>
      </c>
    </row>
    <row r="62" spans="1:19" ht="20.149999999999999" customHeight="1" x14ac:dyDescent="0.35">
      <c r="A62" s="113" t="s">
        <v>52</v>
      </c>
      <c r="C62" s="115">
        <v>19.122160810925081</v>
      </c>
      <c r="D62" s="115">
        <v>83.924362221298622</v>
      </c>
      <c r="E62" s="115">
        <v>50.331670251561491</v>
      </c>
      <c r="F62" s="115">
        <v>45.851118117795664</v>
      </c>
      <c r="G62" s="115">
        <v>25.211699395187463</v>
      </c>
      <c r="H62" s="115">
        <v>11.262920407704566</v>
      </c>
      <c r="I62" s="116">
        <v>235.70393120447289</v>
      </c>
      <c r="J62" s="115">
        <v>9</v>
      </c>
      <c r="K62" s="115">
        <v>9.8000000000000007</v>
      </c>
      <c r="L62" s="115">
        <v>24.969788898415601</v>
      </c>
      <c r="M62" s="117">
        <v>261</v>
      </c>
      <c r="O62" s="115">
        <v>62.110000000000007</v>
      </c>
      <c r="P62" s="115">
        <v>7.1000000000000005</v>
      </c>
      <c r="Q62" s="120">
        <v>46</v>
      </c>
      <c r="S62" s="122">
        <v>307</v>
      </c>
    </row>
    <row r="63" spans="1:19" ht="20.149999999999999" customHeight="1" x14ac:dyDescent="0.35">
      <c r="A63" s="113" t="s">
        <v>39</v>
      </c>
      <c r="C63" s="115">
        <v>6.0639967153940466</v>
      </c>
      <c r="D63" s="115">
        <v>31.17969157814581</v>
      </c>
      <c r="E63" s="115">
        <v>11.208502661690867</v>
      </c>
      <c r="F63" s="115">
        <v>14.326740629059469</v>
      </c>
      <c r="G63" s="115">
        <v>6.8127244928733468</v>
      </c>
      <c r="H63" s="115">
        <v>5.5148072900551881</v>
      </c>
      <c r="I63" s="116">
        <v>75.106463367218723</v>
      </c>
      <c r="J63" s="115">
        <v>1.5</v>
      </c>
      <c r="K63" s="115">
        <v>8</v>
      </c>
      <c r="L63" s="115">
        <v>9.5758079209023403</v>
      </c>
      <c r="M63" s="117">
        <v>85</v>
      </c>
      <c r="O63" s="115">
        <v>14.15</v>
      </c>
      <c r="P63" s="115">
        <v>5.5</v>
      </c>
      <c r="Q63" s="120">
        <v>19</v>
      </c>
      <c r="S63" s="122">
        <v>104</v>
      </c>
    </row>
    <row r="64" spans="1:19" ht="20.149999999999999" customHeight="1" x14ac:dyDescent="0.35">
      <c r="A64" s="113" t="s">
        <v>40</v>
      </c>
      <c r="C64" s="115">
        <v>1.6959553598797144</v>
      </c>
      <c r="D64" s="115">
        <v>17.881700501804367</v>
      </c>
      <c r="E64" s="115">
        <v>5.2263844613348995</v>
      </c>
      <c r="F64" s="115">
        <v>7.8125922105521237</v>
      </c>
      <c r="G64" s="115">
        <v>3.5125398085339055</v>
      </c>
      <c r="H64" s="115">
        <v>2.142759429678792</v>
      </c>
      <c r="I64" s="116">
        <v>38.271931771783805</v>
      </c>
      <c r="J64" s="115">
        <v>0.25</v>
      </c>
      <c r="K64" s="115">
        <v>8</v>
      </c>
      <c r="L64" s="115">
        <v>4.8152414714729757</v>
      </c>
      <c r="M64" s="117">
        <v>44</v>
      </c>
      <c r="O64" s="115">
        <v>4.6499999999999995</v>
      </c>
      <c r="P64" s="115">
        <v>5.5</v>
      </c>
      <c r="Q64" s="120">
        <v>9</v>
      </c>
      <c r="S64" s="122">
        <v>53</v>
      </c>
    </row>
    <row r="65" spans="1:20" s="111" customFormat="1" ht="20.149999999999999" customHeight="1" thickBot="1" x14ac:dyDescent="0.4">
      <c r="A65" s="112" t="s">
        <v>62</v>
      </c>
      <c r="B65" s="52"/>
      <c r="C65" s="118">
        <f>SUM(C7:C64)</f>
        <v>780.07225505919814</v>
      </c>
      <c r="D65" s="118">
        <f t="shared" ref="D65:I65" si="0">SUM(D7:D64)</f>
        <v>4366.4356919964366</v>
      </c>
      <c r="E65" s="118">
        <f t="shared" si="0"/>
        <v>3082.7666165279625</v>
      </c>
      <c r="F65" s="118">
        <f t="shared" si="0"/>
        <v>2592.7999611867408</v>
      </c>
      <c r="G65" s="118">
        <f t="shared" si="0"/>
        <v>1343.5801433514921</v>
      </c>
      <c r="H65" s="118">
        <f t="shared" ref="H65" si="1">SUM(H7:H64)</f>
        <v>747.52601287048753</v>
      </c>
      <c r="I65" s="118">
        <f t="shared" si="0"/>
        <v>12913.180680992315</v>
      </c>
      <c r="J65" s="118">
        <f t="shared" ref="J65" si="2">SUM(J7:J64)</f>
        <v>659.8290708812259</v>
      </c>
      <c r="K65" s="109"/>
      <c r="L65" s="119">
        <f>SUM(L7:L64)</f>
        <v>1365.5651816180789</v>
      </c>
      <c r="M65" s="119">
        <f>SUM(M7:M64)</f>
        <v>14310</v>
      </c>
      <c r="N65" s="52"/>
      <c r="O65" s="118">
        <f>SUM(O7:O64)</f>
        <v>1628.1325536398467</v>
      </c>
      <c r="P65" s="109"/>
      <c r="Q65" s="119">
        <f>SUM(Q7:Q64)</f>
        <v>2375</v>
      </c>
      <c r="R65" s="52"/>
      <c r="S65" s="121">
        <f>SUM(S7:S64)</f>
        <v>16685</v>
      </c>
      <c r="T65" s="100"/>
    </row>
    <row r="66" spans="1:20" s="111" customFormat="1" ht="20.149999999999999" customHeight="1" thickTop="1" x14ac:dyDescent="0.35">
      <c r="A66" s="99"/>
      <c r="B66" s="52"/>
      <c r="C66" s="99"/>
      <c r="D66" s="99"/>
      <c r="E66" s="99"/>
      <c r="F66" s="99"/>
      <c r="G66" s="99"/>
      <c r="H66" s="99"/>
      <c r="I66" s="99"/>
      <c r="J66" s="99"/>
      <c r="K66" s="109"/>
      <c r="L66" s="99"/>
      <c r="M66" s="99"/>
      <c r="N66" s="52"/>
      <c r="O66" s="99"/>
      <c r="P66" s="109"/>
      <c r="Q66" s="99"/>
      <c r="R66" s="52"/>
      <c r="S66" s="110"/>
      <c r="T66" s="100"/>
    </row>
    <row r="67" spans="1:20" s="111" customFormat="1" ht="21.65" customHeight="1" x14ac:dyDescent="0.35">
      <c r="A67" s="230"/>
      <c r="B67" s="52"/>
      <c r="C67" s="107" t="s">
        <v>222</v>
      </c>
      <c r="E67" s="229"/>
      <c r="F67" s="229"/>
      <c r="G67" s="229"/>
      <c r="H67" s="229"/>
      <c r="I67" s="229"/>
      <c r="J67" s="229"/>
      <c r="K67" s="229"/>
      <c r="L67" s="229"/>
      <c r="M67" s="229"/>
      <c r="N67" s="229"/>
      <c r="O67" s="229"/>
      <c r="P67" s="229"/>
      <c r="Q67" s="229"/>
      <c r="R67" s="229"/>
      <c r="S67" s="229"/>
      <c r="T67" s="100"/>
    </row>
    <row r="68" spans="1:20" ht="21.65" customHeight="1" x14ac:dyDescent="0.35">
      <c r="A68" s="233"/>
      <c r="C68" s="107" t="s">
        <v>234</v>
      </c>
      <c r="D68" s="229"/>
      <c r="E68" s="229"/>
      <c r="F68" s="229"/>
      <c r="G68" s="229"/>
      <c r="H68" s="229"/>
      <c r="I68" s="229"/>
      <c r="J68" s="229"/>
      <c r="K68" s="229"/>
      <c r="L68" s="229"/>
      <c r="M68" s="229"/>
      <c r="N68" s="229"/>
      <c r="O68" s="229"/>
      <c r="P68" s="229"/>
      <c r="Q68" s="229"/>
    </row>
  </sheetData>
  <mergeCells count="3">
    <mergeCell ref="C4:M4"/>
    <mergeCell ref="O4:Q4"/>
    <mergeCell ref="A5:A6"/>
  </mergeCells>
  <printOptions horizontalCentered="1"/>
  <pageMargins left="0.25" right="0.25" top="0.5" bottom="0.25" header="0.3" footer="0.3"/>
  <pageSetup scale="51" orientation="portrait" r:id="rId1"/>
  <headerFooter>
    <oddHeader xml:space="preserve">&amp;R&amp;"-,Bold"&amp;14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Q70"/>
  <sheetViews>
    <sheetView zoomScaleNormal="100" zoomScaleSheetLayoutView="100" workbookViewId="0">
      <pane xSplit="2" ySplit="5" topLeftCell="C12" activePane="bottomRight" state="frozen"/>
      <selection pane="topRight" activeCell="C1" sqref="C1"/>
      <selection pane="bottomLeft" activeCell="A6" sqref="A6"/>
      <selection pane="bottomRight" activeCell="G64" sqref="G64"/>
    </sheetView>
  </sheetViews>
  <sheetFormatPr defaultColWidth="9.1796875" defaultRowHeight="14.5" x14ac:dyDescent="0.35"/>
  <cols>
    <col min="1" max="1" width="17.81640625" style="123" customWidth="1"/>
    <col min="2" max="2" width="1.81640625" style="52" customWidth="1"/>
    <col min="3" max="4" width="15.81640625" style="123" customWidth="1"/>
    <col min="5" max="5" width="1.81640625" style="52" customWidth="1"/>
    <col min="6" max="6" width="15.81640625" style="123" customWidth="1"/>
    <col min="7" max="7" width="11.453125" style="123" bestFit="1" customWidth="1"/>
    <col min="8" max="10" width="9.1796875" style="123"/>
    <col min="11" max="11" width="16" style="267" customWidth="1"/>
    <col min="12" max="16" width="9.1796875" style="123"/>
    <col min="17" max="17" width="9.1796875" style="270"/>
    <col min="18" max="16384" width="9.1796875" style="123"/>
  </cols>
  <sheetData>
    <row r="1" spans="1:16" ht="20.149999999999999" customHeight="1" x14ac:dyDescent="0.35">
      <c r="A1" s="136" t="s">
        <v>170</v>
      </c>
      <c r="B1" s="99"/>
      <c r="E1" s="99"/>
    </row>
    <row r="2" spans="1:16" ht="18.649999999999999" customHeight="1" x14ac:dyDescent="0.35">
      <c r="A2" s="48"/>
      <c r="B2" s="50"/>
      <c r="E2" s="50"/>
    </row>
    <row r="3" spans="1:16" ht="18.649999999999999" customHeight="1" x14ac:dyDescent="0.35">
      <c r="B3" s="50"/>
      <c r="E3" s="50"/>
    </row>
    <row r="4" spans="1:16" ht="43.5" x14ac:dyDescent="0.35">
      <c r="A4" s="308" t="s">
        <v>63</v>
      </c>
      <c r="B4" s="80"/>
      <c r="C4" s="124" t="s">
        <v>173</v>
      </c>
      <c r="D4" s="142" t="s">
        <v>172</v>
      </c>
      <c r="E4" s="80"/>
      <c r="F4" s="73" t="s">
        <v>168</v>
      </c>
    </row>
    <row r="5" spans="1:16" x14ac:dyDescent="0.35">
      <c r="A5" s="309"/>
      <c r="B5" s="80"/>
      <c r="C5" s="77" t="s">
        <v>65</v>
      </c>
      <c r="D5" s="77" t="s">
        <v>1</v>
      </c>
      <c r="E5" s="80"/>
      <c r="F5" s="77" t="s">
        <v>66</v>
      </c>
    </row>
    <row r="6" spans="1:16" ht="18.649999999999999" customHeight="1" x14ac:dyDescent="0.35">
      <c r="A6" s="125" t="s">
        <v>53</v>
      </c>
      <c r="B6" s="80"/>
      <c r="C6" s="137">
        <f>'Program 10'!C7+'Program 90'!C7</f>
        <v>54019685.016665019</v>
      </c>
      <c r="D6" s="126">
        <f>'Program 10'!B7+'Program 90'!B7</f>
        <v>561.91000000000008</v>
      </c>
      <c r="E6" s="80"/>
      <c r="F6" s="138">
        <f>C6/D6</f>
        <v>96135.831390551888</v>
      </c>
      <c r="G6" s="127"/>
      <c r="K6" s="268"/>
      <c r="L6" s="265"/>
      <c r="P6" s="269"/>
    </row>
    <row r="7" spans="1:16" ht="18.649999999999999" customHeight="1" x14ac:dyDescent="0.35">
      <c r="A7" s="125" t="s">
        <v>4</v>
      </c>
      <c r="B7" s="81"/>
      <c r="C7" s="137">
        <f>'Program 10'!C8+'Program 90'!C8</f>
        <v>214740.19</v>
      </c>
      <c r="D7" s="126">
        <f>'Program 10'!B8+'Program 90'!B8</f>
        <v>3.5</v>
      </c>
      <c r="E7" s="81"/>
      <c r="F7" s="138">
        <f t="shared" ref="F7:F63" si="0">C7/D7</f>
        <v>61354.340000000004</v>
      </c>
      <c r="G7" s="127"/>
      <c r="K7" s="268"/>
      <c r="L7" s="265"/>
      <c r="P7" s="269"/>
    </row>
    <row r="8" spans="1:16" ht="18.649999999999999" customHeight="1" x14ac:dyDescent="0.35">
      <c r="A8" s="125" t="s">
        <v>5</v>
      </c>
      <c r="B8" s="80"/>
      <c r="C8" s="137">
        <f>'Program 10'!C9+'Program 90'!C9</f>
        <v>1895482.2199999997</v>
      </c>
      <c r="D8" s="126">
        <f>'Program 10'!B9+'Program 90'!B9</f>
        <v>27.6</v>
      </c>
      <c r="E8" s="80"/>
      <c r="F8" s="138">
        <f t="shared" si="0"/>
        <v>68676.892028985501</v>
      </c>
      <c r="G8" s="127"/>
      <c r="K8" s="268"/>
      <c r="L8" s="265"/>
      <c r="P8" s="269"/>
    </row>
    <row r="9" spans="1:16" ht="18.649999999999999" customHeight="1" x14ac:dyDescent="0.35">
      <c r="A9" s="125" t="s">
        <v>19</v>
      </c>
      <c r="C9" s="137">
        <f>'Program 10'!C10+'Program 90'!C10</f>
        <v>5838116.5399999991</v>
      </c>
      <c r="D9" s="126">
        <f>'Program 10'!B10+'Program 90'!B10</f>
        <v>92.089999999999975</v>
      </c>
      <c r="F9" s="138">
        <f t="shared" si="0"/>
        <v>63395.770876316652</v>
      </c>
      <c r="G9" s="127"/>
      <c r="K9" s="268"/>
      <c r="L9" s="265"/>
      <c r="P9" s="269"/>
    </row>
    <row r="10" spans="1:16" ht="18.649999999999999" customHeight="1" x14ac:dyDescent="0.35">
      <c r="A10" s="125" t="s">
        <v>6</v>
      </c>
      <c r="C10" s="137">
        <f>'Program 10'!C11+'Program 90'!C11</f>
        <v>1474121.2379999999</v>
      </c>
      <c r="D10" s="126">
        <f>'Program 10'!B11+'Program 90'!B11</f>
        <v>20.65</v>
      </c>
      <c r="F10" s="138">
        <f t="shared" si="0"/>
        <v>71386.016368038734</v>
      </c>
      <c r="G10" s="127"/>
      <c r="K10" s="268"/>
      <c r="L10" s="265"/>
      <c r="P10" s="269"/>
    </row>
    <row r="11" spans="1:16" ht="18.649999999999999" customHeight="1" x14ac:dyDescent="0.35">
      <c r="A11" s="125" t="s">
        <v>7</v>
      </c>
      <c r="C11" s="137">
        <f>'Program 10'!C12+'Program 90'!C12</f>
        <v>691892.79999999981</v>
      </c>
      <c r="D11" s="126">
        <f>'Program 10'!B12+'Program 90'!B12</f>
        <v>13.599999999999994</v>
      </c>
      <c r="F11" s="138">
        <f t="shared" si="0"/>
        <v>50874.470588235301</v>
      </c>
      <c r="G11" s="127"/>
      <c r="K11" s="268"/>
      <c r="L11" s="265"/>
      <c r="P11" s="269"/>
    </row>
    <row r="12" spans="1:16" ht="18.649999999999999" customHeight="1" x14ac:dyDescent="0.35">
      <c r="A12" s="125" t="s">
        <v>41</v>
      </c>
      <c r="B12" s="82"/>
      <c r="C12" s="137">
        <f>'Program 10'!C13+'Program 90'!C13</f>
        <v>24269907.016400032</v>
      </c>
      <c r="D12" s="126">
        <f>'Program 10'!B13+'Program 90'!B13</f>
        <v>272.30500000000001</v>
      </c>
      <c r="E12" s="82"/>
      <c r="F12" s="138">
        <f t="shared" si="0"/>
        <v>89127.658384532158</v>
      </c>
      <c r="G12" s="127"/>
      <c r="K12" s="268"/>
      <c r="L12" s="265"/>
      <c r="P12" s="269"/>
    </row>
    <row r="13" spans="1:16" ht="18.649999999999999" customHeight="1" x14ac:dyDescent="0.35">
      <c r="A13" s="125" t="s">
        <v>8</v>
      </c>
      <c r="C13" s="137">
        <f>'Program 10'!C14+'Program 90'!C14</f>
        <v>1389638.3906477094</v>
      </c>
      <c r="D13" s="126">
        <f>'Program 10'!B14+'Program 90'!B14</f>
        <v>21</v>
      </c>
      <c r="F13" s="138">
        <f t="shared" si="0"/>
        <v>66173.256697509976</v>
      </c>
      <c r="G13" s="127"/>
      <c r="K13" s="268"/>
      <c r="L13" s="265"/>
      <c r="P13" s="269"/>
    </row>
    <row r="14" spans="1:16" ht="18.649999999999999" customHeight="1" x14ac:dyDescent="0.35">
      <c r="A14" s="125" t="s">
        <v>20</v>
      </c>
      <c r="C14" s="137">
        <f>'Program 10'!C15+'Program 90'!C15</f>
        <v>5309864.3912000014</v>
      </c>
      <c r="D14" s="126">
        <f>'Program 10'!B15+'Program 90'!B15</f>
        <v>78.16</v>
      </c>
      <c r="F14" s="138">
        <f t="shared" si="0"/>
        <v>67935.828955987745</v>
      </c>
      <c r="G14" s="127"/>
      <c r="K14" s="268"/>
      <c r="L14" s="265"/>
      <c r="P14" s="269"/>
    </row>
    <row r="15" spans="1:16" ht="18.649999999999999" customHeight="1" x14ac:dyDescent="0.35">
      <c r="A15" s="125" t="s">
        <v>42</v>
      </c>
      <c r="C15" s="137">
        <f>'Program 10'!C16+'Program 90'!C16</f>
        <v>33919246.849999994</v>
      </c>
      <c r="D15" s="126">
        <f>'Program 10'!B16+'Program 90'!B16</f>
        <v>472.7</v>
      </c>
      <c r="F15" s="138">
        <f t="shared" si="0"/>
        <v>71756.392743812132</v>
      </c>
      <c r="G15" s="127"/>
      <c r="K15" s="268"/>
      <c r="L15" s="265"/>
      <c r="P15" s="269"/>
    </row>
    <row r="16" spans="1:16" ht="18.649999999999999" customHeight="1" x14ac:dyDescent="0.35">
      <c r="A16" s="125" t="s">
        <v>9</v>
      </c>
      <c r="C16" s="137">
        <f>'Program 10'!C17+'Program 90'!C17</f>
        <v>847007.74999999977</v>
      </c>
      <c r="D16" s="126">
        <f>'Program 10'!B17+'Program 90'!B17</f>
        <v>15.300000000000002</v>
      </c>
      <c r="F16" s="138">
        <f t="shared" si="0"/>
        <v>55359.983660130696</v>
      </c>
      <c r="G16" s="127"/>
      <c r="K16" s="268"/>
      <c r="L16" s="265"/>
      <c r="P16" s="269"/>
    </row>
    <row r="17" spans="1:16" ht="18.649999999999999" customHeight="1" x14ac:dyDescent="0.35">
      <c r="A17" s="125" t="s">
        <v>21</v>
      </c>
      <c r="C17" s="137">
        <f>'Program 10'!C18+'Program 90'!C18</f>
        <v>4147330.5903712502</v>
      </c>
      <c r="D17" s="126">
        <f>'Program 10'!B18+'Program 90'!B18</f>
        <v>67.5</v>
      </c>
      <c r="F17" s="138">
        <f t="shared" si="0"/>
        <v>61441.934672166666</v>
      </c>
      <c r="G17" s="127"/>
      <c r="K17" s="268"/>
      <c r="L17" s="265"/>
      <c r="P17" s="269"/>
    </row>
    <row r="18" spans="1:16" ht="18.649999999999999" customHeight="1" x14ac:dyDescent="0.35">
      <c r="A18" s="125" t="s">
        <v>22</v>
      </c>
      <c r="B18" s="82"/>
      <c r="C18" s="137">
        <f>'Program 10'!C19+'Program 90'!C19</f>
        <v>5336568.094216302</v>
      </c>
      <c r="D18" s="126">
        <f>'Program 10'!B19+'Program 90'!B19</f>
        <v>94.45</v>
      </c>
      <c r="E18" s="82"/>
      <c r="F18" s="138">
        <f t="shared" si="0"/>
        <v>56501.515026112247</v>
      </c>
      <c r="G18" s="127"/>
      <c r="K18" s="268"/>
      <c r="L18" s="265"/>
      <c r="P18" s="269"/>
    </row>
    <row r="19" spans="1:16" ht="18.649999999999999" customHeight="1" x14ac:dyDescent="0.35">
      <c r="A19" s="125" t="s">
        <v>10</v>
      </c>
      <c r="C19" s="137">
        <f>'Program 10'!C20+'Program 90'!C20</f>
        <v>831388.71080799983</v>
      </c>
      <c r="D19" s="126">
        <f>'Program 10'!B20+'Program 90'!B20</f>
        <v>11.430000000000001</v>
      </c>
      <c r="F19" s="138">
        <f t="shared" si="0"/>
        <v>72737.420018197707</v>
      </c>
      <c r="G19" s="127"/>
      <c r="K19" s="268"/>
      <c r="L19" s="265"/>
      <c r="P19" s="269"/>
    </row>
    <row r="20" spans="1:16" ht="18.649999999999999" customHeight="1" x14ac:dyDescent="0.35">
      <c r="A20" s="125" t="s">
        <v>43</v>
      </c>
      <c r="C20" s="137">
        <f>'Program 10'!C21+'Program 90'!C21</f>
        <v>31430264.948282156</v>
      </c>
      <c r="D20" s="126">
        <f>'Program 10'!B21+'Program 90'!B21</f>
        <v>459</v>
      </c>
      <c r="F20" s="138">
        <f t="shared" si="0"/>
        <v>68475.522763141955</v>
      </c>
      <c r="G20" s="127"/>
      <c r="K20" s="268"/>
      <c r="L20" s="265"/>
      <c r="P20" s="269"/>
    </row>
    <row r="21" spans="1:16" ht="18.649999999999999" customHeight="1" x14ac:dyDescent="0.35">
      <c r="A21" s="125" t="s">
        <v>23</v>
      </c>
      <c r="C21" s="137">
        <f>'Program 10'!C22+'Program 90'!C22</f>
        <v>5605188.4099999992</v>
      </c>
      <c r="D21" s="126">
        <f>'Program 10'!B22+'Program 90'!B22</f>
        <v>88</v>
      </c>
      <c r="F21" s="138">
        <f t="shared" si="0"/>
        <v>63695.322840909081</v>
      </c>
      <c r="G21" s="127"/>
      <c r="K21" s="268"/>
      <c r="L21" s="265"/>
      <c r="P21" s="269"/>
    </row>
    <row r="22" spans="1:16" ht="18.649999999999999" customHeight="1" x14ac:dyDescent="0.35">
      <c r="A22" s="125" t="s">
        <v>24</v>
      </c>
      <c r="C22" s="137">
        <f>'Program 10'!C23+'Program 90'!C23</f>
        <v>2056505.0430000003</v>
      </c>
      <c r="D22" s="126">
        <f>'Program 10'!B23+'Program 90'!B23</f>
        <v>32.099999999999994</v>
      </c>
      <c r="F22" s="138">
        <f t="shared" si="0"/>
        <v>64065.577663551419</v>
      </c>
      <c r="G22" s="127"/>
      <c r="K22" s="268"/>
      <c r="L22" s="265"/>
      <c r="P22" s="269"/>
    </row>
    <row r="23" spans="1:16" ht="18.649999999999999" customHeight="1" x14ac:dyDescent="0.35">
      <c r="A23" s="125" t="s">
        <v>11</v>
      </c>
      <c r="C23" s="137">
        <f>'Program 10'!C24+'Program 90'!C24</f>
        <v>1177055.879</v>
      </c>
      <c r="D23" s="126">
        <f>'Program 10'!B24+'Program 90'!B24</f>
        <v>21.05</v>
      </c>
      <c r="F23" s="138">
        <f t="shared" si="0"/>
        <v>55917.14389548693</v>
      </c>
      <c r="G23" s="127"/>
      <c r="K23" s="268"/>
      <c r="L23" s="265"/>
      <c r="P23" s="269"/>
    </row>
    <row r="24" spans="1:16" ht="18.649999999999999" customHeight="1" x14ac:dyDescent="0.35">
      <c r="A24" s="125" t="s">
        <v>54</v>
      </c>
      <c r="C24" s="137">
        <f>'Program 10'!C25+'Program 90'!C25</f>
        <v>323138472.17379308</v>
      </c>
      <c r="D24" s="126">
        <f>'Program 10'!B25+'Program 90'!B25</f>
        <v>3860.25</v>
      </c>
      <c r="F24" s="138">
        <f t="shared" si="0"/>
        <v>83709.208515975144</v>
      </c>
      <c r="G24" s="127"/>
      <c r="K24" s="268"/>
      <c r="L24" s="265"/>
      <c r="P24" s="269"/>
    </row>
    <row r="25" spans="1:16" ht="18.649999999999999" customHeight="1" x14ac:dyDescent="0.35">
      <c r="A25" s="125" t="s">
        <v>25</v>
      </c>
      <c r="C25" s="137">
        <f>'Program 10'!C26+'Program 90'!C26</f>
        <v>6330348.7900000019</v>
      </c>
      <c r="D25" s="126">
        <f>'Program 10'!B26+'Program 90'!B26</f>
        <v>92.659999999999982</v>
      </c>
      <c r="F25" s="138">
        <f t="shared" si="0"/>
        <v>68318.031405137095</v>
      </c>
      <c r="G25" s="127"/>
      <c r="K25" s="268"/>
      <c r="L25" s="265"/>
      <c r="P25" s="269"/>
    </row>
    <row r="26" spans="1:16" ht="18.649999999999999" customHeight="1" x14ac:dyDescent="0.35">
      <c r="A26" s="125" t="s">
        <v>26</v>
      </c>
      <c r="C26" s="137">
        <f>'Program 10'!C27+'Program 90'!C27</f>
        <v>8168091.0525262561</v>
      </c>
      <c r="D26" s="126">
        <f>'Program 10'!B27+'Program 90'!B27</f>
        <v>99.911282051282072</v>
      </c>
      <c r="F26" s="138">
        <f t="shared" si="0"/>
        <v>81753.440500681099</v>
      </c>
      <c r="G26" s="127"/>
      <c r="K26" s="268"/>
      <c r="L26" s="265"/>
      <c r="P26" s="269"/>
    </row>
    <row r="27" spans="1:16" ht="18.649999999999999" customHeight="1" x14ac:dyDescent="0.35">
      <c r="A27" s="125" t="s">
        <v>12</v>
      </c>
      <c r="C27" s="137">
        <f>'Program 10'!C28+'Program 90'!C28</f>
        <v>671051.70299999998</v>
      </c>
      <c r="D27" s="126">
        <f>'Program 10'!B28+'Program 90'!B28</f>
        <v>10.7</v>
      </c>
      <c r="F27" s="138">
        <f t="shared" si="0"/>
        <v>62715.112429906541</v>
      </c>
      <c r="G27" s="127"/>
      <c r="K27" s="268"/>
      <c r="L27" s="265"/>
      <c r="P27" s="269"/>
    </row>
    <row r="28" spans="1:16" ht="18.649999999999999" customHeight="1" x14ac:dyDescent="0.35">
      <c r="A28" s="125" t="s">
        <v>27</v>
      </c>
      <c r="C28" s="137">
        <f>'Program 10'!C29+'Program 90'!C29</f>
        <v>3741480.1600000006</v>
      </c>
      <c r="D28" s="126">
        <f>'Program 10'!B29+'Program 90'!B29</f>
        <v>52.199999999999996</v>
      </c>
      <c r="F28" s="138">
        <f t="shared" si="0"/>
        <v>71675.865134099629</v>
      </c>
      <c r="G28" s="127"/>
      <c r="K28" s="268"/>
      <c r="L28" s="265"/>
      <c r="P28" s="269"/>
    </row>
    <row r="29" spans="1:16" ht="18.649999999999999" customHeight="1" x14ac:dyDescent="0.35">
      <c r="A29" s="125" t="s">
        <v>28</v>
      </c>
      <c r="C29" s="137">
        <f>'Program 10'!C30+'Program 90'!C30</f>
        <v>8127721.410000002</v>
      </c>
      <c r="D29" s="126">
        <f>'Program 10'!B30+'Program 90'!B30</f>
        <v>128.25</v>
      </c>
      <c r="F29" s="138">
        <f t="shared" si="0"/>
        <v>63374.046081871362</v>
      </c>
      <c r="G29" s="127"/>
      <c r="K29" s="268"/>
      <c r="L29" s="265"/>
      <c r="P29" s="269"/>
    </row>
    <row r="30" spans="1:16" ht="18.649999999999999" customHeight="1" x14ac:dyDescent="0.35">
      <c r="A30" s="125" t="s">
        <v>13</v>
      </c>
      <c r="C30" s="137">
        <f>'Program 10'!C31+'Program 90'!C31</f>
        <v>520294.29</v>
      </c>
      <c r="D30" s="126">
        <f>'Program 10'!B31+'Program 90'!B31</f>
        <v>9</v>
      </c>
      <c r="F30" s="138">
        <f t="shared" si="0"/>
        <v>57810.476666666662</v>
      </c>
      <c r="G30" s="127"/>
      <c r="K30" s="268"/>
      <c r="L30" s="265"/>
      <c r="P30" s="269"/>
    </row>
    <row r="31" spans="1:16" ht="18.649999999999999" customHeight="1" x14ac:dyDescent="0.35">
      <c r="A31" s="125" t="s">
        <v>14</v>
      </c>
      <c r="C31" s="137">
        <f>'Program 10'!C32+'Program 90'!C32</f>
        <v>818165.82155769225</v>
      </c>
      <c r="D31" s="126">
        <f>'Program 10'!B32+'Program 90'!B32</f>
        <v>11.43075</v>
      </c>
      <c r="F31" s="138">
        <f t="shared" si="0"/>
        <v>71575.865236987273</v>
      </c>
      <c r="G31" s="127"/>
      <c r="K31" s="268"/>
      <c r="L31" s="265"/>
      <c r="P31" s="269"/>
    </row>
    <row r="32" spans="1:16" ht="18.649999999999999" customHeight="1" x14ac:dyDescent="0.35">
      <c r="A32" s="125" t="s">
        <v>44</v>
      </c>
      <c r="C32" s="137">
        <f>'Program 10'!C33+'Program 90'!C33</f>
        <v>13279280.324000007</v>
      </c>
      <c r="D32" s="126">
        <f>'Program 10'!B33+'Program 90'!B33</f>
        <v>171.79999999999998</v>
      </c>
      <c r="F32" s="138">
        <f t="shared" si="0"/>
        <v>77294.996065192128</v>
      </c>
      <c r="G32" s="127"/>
      <c r="K32" s="268"/>
      <c r="L32" s="265"/>
      <c r="P32" s="269"/>
    </row>
    <row r="33" spans="1:16" ht="18.649999999999999" customHeight="1" x14ac:dyDescent="0.35">
      <c r="A33" s="125" t="s">
        <v>29</v>
      </c>
      <c r="C33" s="137">
        <f>'Program 10'!C34+'Program 90'!C34</f>
        <v>4767336.784</v>
      </c>
      <c r="D33" s="126">
        <f>'Program 10'!B34+'Program 90'!B34</f>
        <v>58.699999999999996</v>
      </c>
      <c r="F33" s="138">
        <f t="shared" si="0"/>
        <v>81215.277410562179</v>
      </c>
      <c r="G33" s="127"/>
      <c r="K33" s="268"/>
      <c r="L33" s="265"/>
      <c r="P33" s="269"/>
    </row>
    <row r="34" spans="1:16" ht="18.649999999999999" customHeight="1" x14ac:dyDescent="0.35">
      <c r="A34" s="125" t="s">
        <v>30</v>
      </c>
      <c r="C34" s="137">
        <f>'Program 10'!C35+'Program 90'!C35</f>
        <v>2964057.2810379127</v>
      </c>
      <c r="D34" s="126">
        <f>'Program 10'!B35+'Program 90'!B35</f>
        <v>44.259999999999984</v>
      </c>
      <c r="F34" s="138">
        <f t="shared" si="0"/>
        <v>66969.211049207268</v>
      </c>
      <c r="G34" s="127"/>
      <c r="K34" s="268"/>
      <c r="L34" s="265"/>
      <c r="P34" s="269"/>
    </row>
    <row r="35" spans="1:16" ht="18.649999999999999" customHeight="1" x14ac:dyDescent="0.35">
      <c r="A35" s="125" t="s">
        <v>55</v>
      </c>
      <c r="C35" s="137">
        <f>'Program 10'!C36+'Program 90'!C36</f>
        <v>102634962.21356808</v>
      </c>
      <c r="D35" s="126">
        <f>'Program 10'!B36+'Program 90'!B36</f>
        <v>1258.1825000000006</v>
      </c>
      <c r="F35" s="138">
        <f t="shared" si="0"/>
        <v>81573.986455516613</v>
      </c>
      <c r="G35" s="127"/>
      <c r="K35" s="268"/>
      <c r="L35" s="265"/>
      <c r="P35" s="269"/>
    </row>
    <row r="36" spans="1:16" ht="18.649999999999999" customHeight="1" x14ac:dyDescent="0.35">
      <c r="A36" s="125" t="s">
        <v>31</v>
      </c>
      <c r="C36" s="137">
        <f>'Program 10'!C37+'Program 90'!C37</f>
        <v>12908150.540000001</v>
      </c>
      <c r="D36" s="126">
        <f>'Program 10'!B37+'Program 90'!B37</f>
        <v>156.5</v>
      </c>
      <c r="F36" s="138">
        <f t="shared" si="0"/>
        <v>82480.195143769975</v>
      </c>
      <c r="G36" s="127"/>
      <c r="K36" s="268"/>
      <c r="L36" s="265"/>
      <c r="P36" s="269"/>
    </row>
    <row r="37" spans="1:16" ht="18.649999999999999" customHeight="1" x14ac:dyDescent="0.35">
      <c r="A37" s="125" t="s">
        <v>15</v>
      </c>
      <c r="C37" s="137">
        <f>'Program 10'!C38+'Program 90'!C38</f>
        <v>478446.31999999995</v>
      </c>
      <c r="D37" s="126">
        <f>'Program 10'!B38+'Program 90'!B38</f>
        <v>7.9999999999999991</v>
      </c>
      <c r="F37" s="138">
        <f t="shared" si="0"/>
        <v>59805.79</v>
      </c>
      <c r="G37" s="127"/>
      <c r="K37" s="268"/>
      <c r="L37" s="265"/>
      <c r="P37" s="269"/>
    </row>
    <row r="38" spans="1:16" ht="18.649999999999999" customHeight="1" x14ac:dyDescent="0.35">
      <c r="A38" s="125" t="s">
        <v>56</v>
      </c>
      <c r="C38" s="137">
        <f>'Program 10'!C39+'Program 90'!C39</f>
        <v>77718851.162850171</v>
      </c>
      <c r="D38" s="126">
        <f>'Program 10'!B39+'Program 90'!B39</f>
        <v>914.34</v>
      </c>
      <c r="F38" s="138">
        <f t="shared" si="0"/>
        <v>84999.94658753874</v>
      </c>
      <c r="G38" s="127"/>
      <c r="K38" s="268"/>
      <c r="L38" s="265"/>
      <c r="P38" s="269"/>
    </row>
    <row r="39" spans="1:16" ht="18.649999999999999" customHeight="1" x14ac:dyDescent="0.35">
      <c r="A39" s="125" t="s">
        <v>57</v>
      </c>
      <c r="C39" s="137">
        <f>'Program 10'!C40+'Program 90'!C40</f>
        <v>51613351.281397872</v>
      </c>
      <c r="D39" s="126">
        <f>'Program 10'!B40+'Program 90'!B40</f>
        <v>571.21</v>
      </c>
      <c r="F39" s="138">
        <f t="shared" si="0"/>
        <v>90357.926649389658</v>
      </c>
      <c r="G39" s="127"/>
      <c r="K39" s="268"/>
      <c r="L39" s="265"/>
      <c r="P39" s="269"/>
    </row>
    <row r="40" spans="1:16" ht="18.649999999999999" customHeight="1" x14ac:dyDescent="0.35">
      <c r="A40" s="125" t="s">
        <v>16</v>
      </c>
      <c r="C40" s="137">
        <f>'Program 10'!C41+'Program 90'!C41</f>
        <v>2007740.3999999997</v>
      </c>
      <c r="D40" s="126">
        <f>'Program 10'!B41+'Program 90'!B41</f>
        <v>26</v>
      </c>
      <c r="F40" s="138">
        <f t="shared" si="0"/>
        <v>77220.784615384604</v>
      </c>
      <c r="G40" s="127"/>
      <c r="K40" s="268"/>
      <c r="L40" s="265"/>
      <c r="P40" s="269"/>
    </row>
    <row r="41" spans="1:16" ht="18.649999999999999" customHeight="1" x14ac:dyDescent="0.35">
      <c r="A41" s="125" t="s">
        <v>58</v>
      </c>
      <c r="C41" s="137">
        <f>'Program 10'!C42+'Program 90'!C42</f>
        <v>70314534.367999852</v>
      </c>
      <c r="D41" s="126">
        <f>'Program 10'!B42+'Program 90'!B42</f>
        <v>940.37</v>
      </c>
      <c r="F41" s="138">
        <f t="shared" si="0"/>
        <v>74773.26410668125</v>
      </c>
      <c r="G41" s="127"/>
      <c r="K41" s="268"/>
      <c r="L41" s="265"/>
      <c r="P41" s="269"/>
    </row>
    <row r="42" spans="1:16" ht="18.649999999999999" customHeight="1" x14ac:dyDescent="0.35">
      <c r="A42" s="125" t="s">
        <v>59</v>
      </c>
      <c r="C42" s="137">
        <f>'Program 10'!C43+'Program 90'!C43</f>
        <v>87201200.967393786</v>
      </c>
      <c r="D42" s="126">
        <f>'Program 10'!B43+'Program 90'!B43</f>
        <v>1094.6783141762451</v>
      </c>
      <c r="F42" s="138">
        <f t="shared" si="0"/>
        <v>79659.202012249094</v>
      </c>
      <c r="G42" s="127"/>
      <c r="K42" s="268"/>
      <c r="L42" s="265"/>
      <c r="P42" s="269"/>
    </row>
    <row r="43" spans="1:16" ht="18.649999999999999" customHeight="1" x14ac:dyDescent="0.35">
      <c r="A43" s="125" t="s">
        <v>60</v>
      </c>
      <c r="C43" s="137">
        <f>'Program 10'!C44+'Program 90'!C44</f>
        <v>36805869.599999972</v>
      </c>
      <c r="D43" s="126">
        <f>'Program 10'!B44+'Program 90'!B44</f>
        <v>344</v>
      </c>
      <c r="F43" s="138">
        <f t="shared" si="0"/>
        <v>106993.8069767441</v>
      </c>
      <c r="G43" s="127"/>
      <c r="K43" s="268"/>
      <c r="L43" s="265"/>
      <c r="P43" s="269"/>
    </row>
    <row r="44" spans="1:16" ht="18.649999999999999" customHeight="1" x14ac:dyDescent="0.35">
      <c r="A44" s="125" t="s">
        <v>45</v>
      </c>
      <c r="C44" s="137">
        <f>'Program 10'!C45+'Program 90'!C45</f>
        <v>24736171.501699992</v>
      </c>
      <c r="D44" s="126">
        <f>'Program 10'!B45+'Program 90'!B45</f>
        <v>328.55999999999995</v>
      </c>
      <c r="F44" s="138">
        <f t="shared" si="0"/>
        <v>75286.618887569988</v>
      </c>
      <c r="G44" s="127"/>
      <c r="K44" s="268"/>
      <c r="L44" s="265"/>
      <c r="P44" s="269"/>
    </row>
    <row r="45" spans="1:16" ht="18.649999999999999" customHeight="1" x14ac:dyDescent="0.35">
      <c r="A45" s="125" t="s">
        <v>32</v>
      </c>
      <c r="C45" s="137">
        <f>'Program 10'!C46+'Program 90'!C46</f>
        <v>10062701.5</v>
      </c>
      <c r="D45" s="126">
        <f>'Program 10'!B46+'Program 90'!B46</f>
        <v>124.35</v>
      </c>
      <c r="F45" s="138">
        <f t="shared" si="0"/>
        <v>80922.4085243265</v>
      </c>
      <c r="G45" s="127"/>
      <c r="K45" s="268"/>
      <c r="L45" s="265"/>
      <c r="P45" s="269"/>
    </row>
    <row r="46" spans="1:16" ht="18.649999999999999" customHeight="1" x14ac:dyDescent="0.35">
      <c r="A46" s="125" t="s">
        <v>46</v>
      </c>
      <c r="C46" s="137">
        <f>'Program 10'!C47+'Program 90'!C47</f>
        <v>24011899.282883249</v>
      </c>
      <c r="D46" s="126">
        <f>'Program 10'!B47+'Program 90'!B47</f>
        <v>269</v>
      </c>
      <c r="F46" s="138">
        <f t="shared" si="0"/>
        <v>89263.566107372681</v>
      </c>
      <c r="G46" s="127"/>
      <c r="K46" s="268"/>
      <c r="L46" s="265"/>
      <c r="P46" s="269"/>
    </row>
    <row r="47" spans="1:16" ht="18.649999999999999" customHeight="1" x14ac:dyDescent="0.35">
      <c r="A47" s="125" t="s">
        <v>47</v>
      </c>
      <c r="C47" s="137">
        <f>'Program 10'!C48+'Program 90'!C48</f>
        <v>14661378.779529598</v>
      </c>
      <c r="D47" s="126">
        <f>'Program 10'!B48+'Program 90'!B48</f>
        <v>198.10500000000002</v>
      </c>
      <c r="F47" s="138">
        <f t="shared" si="0"/>
        <v>74008.120842631921</v>
      </c>
      <c r="G47" s="127"/>
      <c r="K47" s="268"/>
      <c r="L47" s="265"/>
      <c r="P47" s="269"/>
    </row>
    <row r="48" spans="1:16" ht="18.649999999999999" customHeight="1" x14ac:dyDescent="0.35">
      <c r="A48" s="125" t="s">
        <v>61</v>
      </c>
      <c r="C48" s="137">
        <f>'Program 10'!C49+'Program 90'!C49</f>
        <v>45159314.196305521</v>
      </c>
      <c r="D48" s="126">
        <f>'Program 10'!B49+'Program 90'!B49</f>
        <v>443.95000000000022</v>
      </c>
      <c r="F48" s="138">
        <f t="shared" si="0"/>
        <v>101721.62224643653</v>
      </c>
      <c r="G48" s="127"/>
      <c r="K48" s="268"/>
      <c r="L48" s="265"/>
      <c r="P48" s="269"/>
    </row>
    <row r="49" spans="1:16" ht="18.649999999999999" customHeight="1" x14ac:dyDescent="0.35">
      <c r="A49" s="125" t="s">
        <v>33</v>
      </c>
      <c r="C49" s="137">
        <f>'Program 10'!C50+'Program 90'!C50</f>
        <v>9092281.1005014554</v>
      </c>
      <c r="D49" s="126">
        <f>'Program 10'!B50+'Program 90'!B50</f>
        <v>112.161</v>
      </c>
      <c r="F49" s="138">
        <f t="shared" si="0"/>
        <v>81064.550962468726</v>
      </c>
      <c r="G49" s="127"/>
      <c r="K49" s="268"/>
      <c r="L49" s="265"/>
      <c r="P49" s="269"/>
    </row>
    <row r="50" spans="1:16" ht="18.649999999999999" customHeight="1" x14ac:dyDescent="0.35">
      <c r="A50" s="125" t="s">
        <v>34</v>
      </c>
      <c r="C50" s="137">
        <f>'Program 10'!C51+'Program 90'!C51</f>
        <v>9103520.9699999988</v>
      </c>
      <c r="D50" s="126">
        <f>'Program 10'!B51+'Program 90'!B51</f>
        <v>136.44999999999999</v>
      </c>
      <c r="F50" s="138">
        <f t="shared" si="0"/>
        <v>66716.899743495786</v>
      </c>
      <c r="G50" s="127"/>
      <c r="K50" s="268"/>
      <c r="L50" s="265"/>
      <c r="P50" s="269"/>
    </row>
    <row r="51" spans="1:16" ht="18.649999999999999" customHeight="1" x14ac:dyDescent="0.35">
      <c r="A51" s="125" t="s">
        <v>17</v>
      </c>
      <c r="C51" s="137">
        <f>'Program 10'!C52+'Program 90'!C52</f>
        <v>173130.20920000001</v>
      </c>
      <c r="D51" s="126">
        <f>'Program 10'!B52+'Program 90'!B52</f>
        <v>3.2899999999999996</v>
      </c>
      <c r="F51" s="138">
        <f t="shared" si="0"/>
        <v>52623.163890577518</v>
      </c>
      <c r="G51" s="127"/>
      <c r="K51" s="268"/>
      <c r="L51" s="265"/>
      <c r="P51" s="269"/>
    </row>
    <row r="52" spans="1:16" ht="18.649999999999999" customHeight="1" x14ac:dyDescent="0.35">
      <c r="A52" s="125" t="s">
        <v>35</v>
      </c>
      <c r="C52" s="137">
        <f>'Program 10'!C53+'Program 90'!C53</f>
        <v>1622221.2500000002</v>
      </c>
      <c r="D52" s="126">
        <f>'Program 10'!B53+'Program 90'!B53</f>
        <v>24.15</v>
      </c>
      <c r="F52" s="138">
        <f t="shared" si="0"/>
        <v>67172.722567287798</v>
      </c>
      <c r="G52" s="127"/>
      <c r="K52" s="268"/>
      <c r="L52" s="265"/>
      <c r="P52" s="269"/>
    </row>
    <row r="53" spans="1:16" ht="18.649999999999999" customHeight="1" x14ac:dyDescent="0.35">
      <c r="A53" s="125" t="s">
        <v>48</v>
      </c>
      <c r="C53" s="137">
        <f>'Program 10'!C54+'Program 90'!C54</f>
        <v>15122837.39218395</v>
      </c>
      <c r="D53" s="126">
        <f>'Program 10'!B54+'Program 90'!B54</f>
        <v>196</v>
      </c>
      <c r="F53" s="138">
        <f t="shared" si="0"/>
        <v>77157.333633591581</v>
      </c>
      <c r="G53" s="127"/>
      <c r="K53" s="268"/>
      <c r="L53" s="265"/>
      <c r="P53" s="269"/>
    </row>
    <row r="54" spans="1:16" ht="18.649999999999999" customHeight="1" x14ac:dyDescent="0.35">
      <c r="A54" s="125" t="s">
        <v>49</v>
      </c>
      <c r="C54" s="137">
        <f>'Program 10'!C55+'Program 90'!C55</f>
        <v>12236160.792959997</v>
      </c>
      <c r="D54" s="126">
        <f>'Program 10'!B55+'Program 90'!B55</f>
        <v>154</v>
      </c>
      <c r="F54" s="138">
        <f t="shared" si="0"/>
        <v>79455.589564675305</v>
      </c>
      <c r="G54" s="127"/>
      <c r="K54" s="268"/>
      <c r="L54" s="265"/>
      <c r="P54" s="269"/>
    </row>
    <row r="55" spans="1:16" ht="18.649999999999999" customHeight="1" x14ac:dyDescent="0.35">
      <c r="A55" s="125" t="s">
        <v>50</v>
      </c>
      <c r="C55" s="137">
        <f>'Program 10'!C56+'Program 90'!C56</f>
        <v>17134698.099999998</v>
      </c>
      <c r="D55" s="126">
        <f>'Program 10'!B56+'Program 90'!B56</f>
        <v>235</v>
      </c>
      <c r="F55" s="138">
        <f t="shared" si="0"/>
        <v>72913.608936170203</v>
      </c>
      <c r="G55" s="127"/>
      <c r="K55" s="268"/>
      <c r="L55" s="265"/>
      <c r="P55" s="269"/>
    </row>
    <row r="56" spans="1:16" ht="18.649999999999999" customHeight="1" x14ac:dyDescent="0.35">
      <c r="A56" s="125" t="s">
        <v>36</v>
      </c>
      <c r="C56" s="137">
        <f>'Program 10'!C57+'Program 90'!C57</f>
        <v>3159599.7904999992</v>
      </c>
      <c r="D56" s="126">
        <f>'Program 10'!B57+'Program 90'!B57</f>
        <v>51.3</v>
      </c>
      <c r="F56" s="138">
        <f t="shared" si="0"/>
        <v>61590.639191033129</v>
      </c>
      <c r="G56" s="127"/>
      <c r="K56" s="268"/>
      <c r="L56" s="265"/>
      <c r="P56" s="269"/>
    </row>
    <row r="57" spans="1:16" ht="18.649999999999999" customHeight="1" x14ac:dyDescent="0.35">
      <c r="A57" s="125" t="s">
        <v>37</v>
      </c>
      <c r="C57" s="137">
        <f>'Program 10'!C58+'Program 90'!C58</f>
        <v>2639584.81</v>
      </c>
      <c r="D57" s="126">
        <f>'Program 10'!B58+'Program 90'!B58</f>
        <v>40.799999999999997</v>
      </c>
      <c r="F57" s="138">
        <f t="shared" si="0"/>
        <v>64695.706127450983</v>
      </c>
      <c r="G57" s="127"/>
      <c r="K57" s="268"/>
      <c r="L57" s="265"/>
      <c r="P57" s="269"/>
    </row>
    <row r="58" spans="1:16" ht="18.649999999999999" customHeight="1" x14ac:dyDescent="0.35">
      <c r="A58" s="125" t="s">
        <v>18</v>
      </c>
      <c r="C58" s="137">
        <f>'Program 10'!C59+'Program 90'!C59</f>
        <v>562047.41100000008</v>
      </c>
      <c r="D58" s="126">
        <f>'Program 10'!B59+'Program 90'!B59</f>
        <v>7.9600000000000009</v>
      </c>
      <c r="F58" s="138">
        <f t="shared" si="0"/>
        <v>70608.971231155781</v>
      </c>
      <c r="G58" s="127"/>
      <c r="K58" s="268"/>
      <c r="L58" s="265"/>
      <c r="P58" s="269"/>
    </row>
    <row r="59" spans="1:16" ht="18.649999999999999" customHeight="1" x14ac:dyDescent="0.35">
      <c r="A59" s="125" t="s">
        <v>51</v>
      </c>
      <c r="C59" s="137">
        <f>'Program 10'!C60+'Program 90'!C60</f>
        <v>15054184.931760006</v>
      </c>
      <c r="D59" s="126">
        <f>'Program 10'!B60+'Program 90'!B60</f>
        <v>230.5</v>
      </c>
      <c r="F59" s="138">
        <f t="shared" si="0"/>
        <v>65310.997534750568</v>
      </c>
      <c r="G59" s="127"/>
      <c r="K59" s="268"/>
      <c r="L59" s="265"/>
      <c r="P59" s="269"/>
    </row>
    <row r="60" spans="1:16" ht="18.649999999999999" customHeight="1" x14ac:dyDescent="0.35">
      <c r="A60" s="125" t="s">
        <v>38</v>
      </c>
      <c r="C60" s="137">
        <f>'Program 10'!C61+'Program 90'!C61</f>
        <v>2406544.2000000002</v>
      </c>
      <c r="D60" s="126">
        <f>'Program 10'!B61+'Program 90'!B61</f>
        <v>35.799999999999997</v>
      </c>
      <c r="F60" s="138">
        <f t="shared" si="0"/>
        <v>67221.905027932968</v>
      </c>
      <c r="G60" s="127"/>
      <c r="K60" s="268"/>
      <c r="L60" s="265"/>
      <c r="P60" s="269"/>
    </row>
    <row r="61" spans="1:16" ht="18.649999999999999" customHeight="1" x14ac:dyDescent="0.35">
      <c r="A61" s="125" t="s">
        <v>52</v>
      </c>
      <c r="C61" s="137">
        <f>'Program 10'!C62+'Program 90'!C62</f>
        <v>23188089.377100013</v>
      </c>
      <c r="D61" s="126">
        <f>'Program 10'!B62+'Program 90'!B62</f>
        <v>276.94</v>
      </c>
      <c r="F61" s="138">
        <f t="shared" si="0"/>
        <v>83729.650383115528</v>
      </c>
      <c r="G61" s="127"/>
      <c r="K61" s="268"/>
      <c r="L61" s="265"/>
      <c r="P61" s="269"/>
    </row>
    <row r="62" spans="1:16" ht="18.649999999999999" customHeight="1" x14ac:dyDescent="0.35">
      <c r="A62" s="125" t="s">
        <v>39</v>
      </c>
      <c r="C62" s="137">
        <f>'Program 10'!C63+'Program 90'!C63</f>
        <v>6821480.3979500001</v>
      </c>
      <c r="D62" s="126">
        <f>'Program 10'!B63+'Program 90'!B63</f>
        <v>90.75</v>
      </c>
      <c r="F62" s="138">
        <f t="shared" si="0"/>
        <v>75167.828076584017</v>
      </c>
      <c r="G62" s="127"/>
      <c r="K62" s="268"/>
      <c r="L62" s="265"/>
      <c r="P62" s="269"/>
    </row>
    <row r="63" spans="1:16" ht="18.649999999999999" customHeight="1" x14ac:dyDescent="0.35">
      <c r="A63" s="125" t="s">
        <v>40</v>
      </c>
      <c r="C63" s="137">
        <f>'Program 10'!C64+'Program 90'!C64</f>
        <v>3232988.7615384604</v>
      </c>
      <c r="D63" s="126">
        <f>'Program 10'!B64+'Program 90'!B64</f>
        <v>47.150000000000006</v>
      </c>
      <c r="F63" s="138">
        <f t="shared" si="0"/>
        <v>68568.160371971579</v>
      </c>
      <c r="G63" s="127"/>
      <c r="K63" s="268"/>
      <c r="L63" s="265"/>
      <c r="P63" s="269"/>
    </row>
    <row r="64" spans="1:16" ht="18.649999999999999" customHeight="1" thickBot="1" x14ac:dyDescent="0.4">
      <c r="A64" s="139" t="s">
        <v>171</v>
      </c>
      <c r="C64" s="140">
        <f>SUM(C6:C63)</f>
        <v>1234844245.4768274</v>
      </c>
      <c r="D64" s="141">
        <f>SUM(D6:D63)</f>
        <v>15211.003846227528</v>
      </c>
      <c r="F64" s="140">
        <f>C64/D64</f>
        <v>81180.983054125012</v>
      </c>
      <c r="K64" s="268"/>
      <c r="L64" s="265"/>
      <c r="P64" s="269"/>
    </row>
    <row r="65" spans="1:16" ht="18.649999999999999" customHeight="1" thickTop="1" x14ac:dyDescent="0.35">
      <c r="C65" s="128"/>
      <c r="D65" s="128"/>
      <c r="F65" s="128"/>
      <c r="P65" s="266"/>
    </row>
    <row r="66" spans="1:16" ht="18.649999999999999" customHeight="1" x14ac:dyDescent="0.35">
      <c r="A66" s="307" t="s">
        <v>80</v>
      </c>
      <c r="B66" s="307"/>
      <c r="C66" s="307"/>
      <c r="D66" s="307"/>
      <c r="E66" s="133"/>
      <c r="F66" s="152">
        <f>AVERAGE(F6:F63)</f>
        <v>72491.161645996996</v>
      </c>
    </row>
    <row r="67" spans="1:16" ht="18.649999999999999" customHeight="1" x14ac:dyDescent="0.35">
      <c r="A67" s="133"/>
      <c r="C67" s="133"/>
      <c r="D67" s="133"/>
      <c r="F67" s="129"/>
    </row>
    <row r="68" spans="1:16" ht="18.649999999999999" customHeight="1" x14ac:dyDescent="0.35">
      <c r="A68" s="134" t="s">
        <v>244</v>
      </c>
      <c r="F68" s="130"/>
    </row>
    <row r="69" spans="1:16" ht="53.9" customHeight="1" x14ac:dyDescent="0.35">
      <c r="A69" s="310" t="s">
        <v>169</v>
      </c>
      <c r="B69" s="310"/>
      <c r="C69" s="310"/>
      <c r="D69" s="310"/>
      <c r="E69" s="310"/>
      <c r="F69" s="310"/>
      <c r="G69" s="310"/>
      <c r="H69" s="310"/>
    </row>
    <row r="70" spans="1:16" x14ac:dyDescent="0.35">
      <c r="C70" s="131"/>
      <c r="F70" s="132"/>
    </row>
  </sheetData>
  <mergeCells count="3">
    <mergeCell ref="A66:D66"/>
    <mergeCell ref="A4:A5"/>
    <mergeCell ref="A69:H69"/>
  </mergeCells>
  <printOptions horizontalCentered="1"/>
  <pageMargins left="0.45" right="0.45" top="0.5" bottom="0.25" header="0.3" footer="0.3"/>
  <pageSetup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K67"/>
  <sheetViews>
    <sheetView zoomScaleNormal="100" workbookViewId="0">
      <pane xSplit="2" ySplit="5" topLeftCell="C6" activePane="bottomRight" state="frozen"/>
      <selection sqref="A1:XFD1048576"/>
      <selection pane="topRight" sqref="A1:XFD1048576"/>
      <selection pane="bottomLeft" sqref="A1:XFD1048576"/>
      <selection pane="bottomRight" activeCell="D6" sqref="D6"/>
    </sheetView>
  </sheetViews>
  <sheetFormatPr defaultColWidth="9.1796875" defaultRowHeight="14.5" x14ac:dyDescent="0.35"/>
  <cols>
    <col min="1" max="1" width="8.1796875" style="199" customWidth="1"/>
    <col min="2" max="2" width="14.54296875" style="199" customWidth="1"/>
    <col min="3" max="3" width="14" style="199" customWidth="1"/>
    <col min="4" max="4" width="14.1796875" style="199" customWidth="1"/>
    <col min="5" max="5" width="12.54296875" style="199" customWidth="1"/>
    <col min="6" max="6" width="14.1796875" style="217" customWidth="1"/>
    <col min="7" max="7" width="16.1796875" style="217" customWidth="1"/>
    <col min="8" max="8" width="13.1796875" style="218" customWidth="1"/>
    <col min="9" max="10" width="0.81640625" style="199" customWidth="1"/>
    <col min="11" max="11" width="8.81640625" style="200" bestFit="1" customWidth="1"/>
    <col min="12" max="16384" width="9.1796875" style="199"/>
  </cols>
  <sheetData>
    <row r="1" spans="1:11" ht="18.5" x14ac:dyDescent="0.35">
      <c r="A1" s="211" t="s">
        <v>181</v>
      </c>
      <c r="B1" s="135"/>
      <c r="C1" s="135"/>
      <c r="D1" s="135"/>
      <c r="E1" s="135"/>
      <c r="F1" s="214"/>
      <c r="G1" s="214"/>
      <c r="H1" s="135"/>
    </row>
    <row r="2" spans="1:11" x14ac:dyDescent="0.35">
      <c r="A2" s="48"/>
      <c r="B2" s="135"/>
      <c r="C2" s="135"/>
      <c r="D2" s="135"/>
      <c r="E2" s="135"/>
      <c r="F2" s="214"/>
      <c r="G2" s="214"/>
      <c r="H2" s="135"/>
    </row>
    <row r="3" spans="1:11" x14ac:dyDescent="0.35">
      <c r="A3" s="201"/>
      <c r="B3" s="201"/>
      <c r="C3" s="201"/>
      <c r="D3" s="201"/>
      <c r="E3" s="201"/>
      <c r="F3" s="215"/>
      <c r="G3" s="215"/>
      <c r="H3" s="201"/>
    </row>
    <row r="4" spans="1:11" ht="52" x14ac:dyDescent="0.35">
      <c r="A4" s="311" t="s">
        <v>68</v>
      </c>
      <c r="B4" s="311" t="s">
        <v>63</v>
      </c>
      <c r="C4" s="220" t="s">
        <v>201</v>
      </c>
      <c r="D4" s="202" t="str">
        <f>"FTE Dollar Factor Applied ("&amp;TEXT('AVG RAS salary'!F66,"$##,###")&amp;" * BLS)"</f>
        <v>FTE Dollar Factor Applied ($72,491 * BLS)</v>
      </c>
      <c r="E4" s="202" t="s">
        <v>202</v>
      </c>
      <c r="F4" s="202" t="s">
        <v>98</v>
      </c>
      <c r="G4" s="220" t="str">
        <f>"Has FTE Need &lt;50 AND FTE Dollar Factor is Less Than Median of "&amp;TEXT(D67,"$##,###")&amp;"?"</f>
        <v>Has FTE Need &lt;50 AND FTE Dollar Factor is Less Than Median of $55,370?</v>
      </c>
      <c r="H4" s="73" t="s">
        <v>69</v>
      </c>
      <c r="K4" s="200" t="s">
        <v>81</v>
      </c>
    </row>
    <row r="5" spans="1:11" x14ac:dyDescent="0.35">
      <c r="A5" s="312"/>
      <c r="B5" s="312"/>
      <c r="C5" s="77" t="s">
        <v>65</v>
      </c>
      <c r="D5" s="77" t="s">
        <v>1</v>
      </c>
      <c r="E5" s="77" t="s">
        <v>66</v>
      </c>
      <c r="F5" s="77" t="s">
        <v>2</v>
      </c>
      <c r="G5" s="77" t="s">
        <v>3</v>
      </c>
      <c r="H5" s="77" t="s">
        <v>93</v>
      </c>
    </row>
    <row r="6" spans="1:11" x14ac:dyDescent="0.35">
      <c r="A6" s="212">
        <v>4</v>
      </c>
      <c r="B6" s="203" t="s">
        <v>53</v>
      </c>
      <c r="C6" s="153">
        <f>VLOOKUP(B6,BLS!$B$7:$I$64,8,FALSE)</f>
        <v>1.4963059425354004</v>
      </c>
      <c r="D6" s="137">
        <f>C6*'AVG RAS salary'!$F$66</f>
        <v>108468.9559521996</v>
      </c>
      <c r="E6" s="213">
        <f>VLOOKUP(B6,'WF Need'!B7:F64,5,FALSE)</f>
        <v>505</v>
      </c>
      <c r="F6" s="216" t="str">
        <f t="shared" ref="F6:F63" si="0">IF(E6&lt;50,"Yes","")</f>
        <v/>
      </c>
      <c r="G6" s="216" t="str">
        <f t="shared" ref="G6:G63" si="1">IF(F6="Yes",(IF(D6&lt;$D$67,"Yes","")),"")</f>
        <v/>
      </c>
      <c r="H6" s="162">
        <f>IF(F6="Yes", IF(G6="Yes",$H$66,D6),D6)</f>
        <v>108468.9559521996</v>
      </c>
      <c r="K6" s="204" t="str">
        <f>IF(F6="Yes",D6,"")</f>
        <v/>
      </c>
    </row>
    <row r="7" spans="1:11" x14ac:dyDescent="0.35">
      <c r="A7" s="212">
        <v>1</v>
      </c>
      <c r="B7" s="203" t="s">
        <v>4</v>
      </c>
      <c r="C7" s="153">
        <f>VLOOKUP(B7,BLS!$B$7:$I$64,8,FALSE)</f>
        <v>0.7278130054473877</v>
      </c>
      <c r="D7" s="277">
        <f>C7*'AVG RAS salary'!$F$66</f>
        <v>52760.010225945472</v>
      </c>
      <c r="E7" s="213">
        <f>VLOOKUP(B7,'WF Need'!B8:F65,5,FALSE)</f>
        <v>3</v>
      </c>
      <c r="F7" s="216" t="str">
        <f t="shared" si="0"/>
        <v>Yes</v>
      </c>
      <c r="G7" s="216" t="str">
        <f t="shared" si="1"/>
        <v>Yes</v>
      </c>
      <c r="H7" s="286">
        <f t="shared" ref="H7:H63" si="2">IF(F7="Yes", IF(G7="Yes",$H$66,D7),D7)</f>
        <v>55369.934978419391</v>
      </c>
      <c r="K7" s="204">
        <f>IF(F7="Yes",D7,"")</f>
        <v>52760.010225945472</v>
      </c>
    </row>
    <row r="8" spans="1:11" x14ac:dyDescent="0.35">
      <c r="A8" s="212">
        <v>1</v>
      </c>
      <c r="B8" s="203" t="s">
        <v>5</v>
      </c>
      <c r="C8" s="153">
        <f>VLOOKUP(B8,BLS!$B$7:$I$64,8,FALSE)</f>
        <v>0.97973990440368652</v>
      </c>
      <c r="D8" s="277">
        <f>C8*'AVG RAS salary'!$F$66</f>
        <v>71022.483781161282</v>
      </c>
      <c r="E8" s="213">
        <f>VLOOKUP(B8,'WF Need'!B9:F66,5,FALSE)</f>
        <v>30</v>
      </c>
      <c r="F8" s="216" t="str">
        <f t="shared" si="0"/>
        <v>Yes</v>
      </c>
      <c r="G8" s="216" t="str">
        <f t="shared" si="1"/>
        <v/>
      </c>
      <c r="H8" s="286">
        <f t="shared" si="2"/>
        <v>71022.483781161282</v>
      </c>
      <c r="K8" s="204">
        <f>IF(F8="Yes",D8,"")</f>
        <v>71022.483781161282</v>
      </c>
    </row>
    <row r="9" spans="1:11" x14ac:dyDescent="0.35">
      <c r="A9" s="212">
        <v>2</v>
      </c>
      <c r="B9" s="203" t="s">
        <v>19</v>
      </c>
      <c r="C9" s="153">
        <f>VLOOKUP(B9,BLS!$B$7:$I$64,8,FALSE)</f>
        <v>0.90206420421600342</v>
      </c>
      <c r="D9" s="277">
        <f>C9*'AVG RAS salary'!$F$66</f>
        <v>65391.682042889952</v>
      </c>
      <c r="E9" s="213">
        <f>VLOOKUP(B9,'WF Need'!B10:F67,5,FALSE)</f>
        <v>125</v>
      </c>
      <c r="F9" s="216" t="str">
        <f t="shared" si="0"/>
        <v/>
      </c>
      <c r="G9" s="216" t="str">
        <f t="shared" si="1"/>
        <v/>
      </c>
      <c r="H9" s="286">
        <f t="shared" si="2"/>
        <v>65391.682042889952</v>
      </c>
      <c r="K9" s="204" t="str">
        <f t="shared" ref="K9:K62" si="3">IF(F9="Yes",D9,"")</f>
        <v/>
      </c>
    </row>
    <row r="10" spans="1:11" x14ac:dyDescent="0.35">
      <c r="A10" s="212">
        <v>1</v>
      </c>
      <c r="B10" s="203" t="s">
        <v>6</v>
      </c>
      <c r="C10" s="153">
        <f>VLOOKUP(B10,BLS!$B$7:$I$64,8,FALSE)</f>
        <v>0.83266341686248779</v>
      </c>
      <c r="D10" s="277">
        <f>C10*'AVG RAS salary'!$F$66</f>
        <v>60360.738348486782</v>
      </c>
      <c r="E10" s="213">
        <f>VLOOKUP(B10,'WF Need'!B11:F69,5,FALSE)</f>
        <v>27</v>
      </c>
      <c r="F10" s="216" t="str">
        <f t="shared" si="0"/>
        <v>Yes</v>
      </c>
      <c r="G10" s="216" t="str">
        <f t="shared" si="1"/>
        <v/>
      </c>
      <c r="H10" s="286">
        <f t="shared" si="2"/>
        <v>60360.738348486782</v>
      </c>
      <c r="K10" s="204">
        <f t="shared" si="3"/>
        <v>60360.738348486782</v>
      </c>
    </row>
    <row r="11" spans="1:11" x14ac:dyDescent="0.35">
      <c r="A11" s="212">
        <v>1</v>
      </c>
      <c r="B11" s="203" t="s">
        <v>7</v>
      </c>
      <c r="C11" s="153">
        <f>VLOOKUP(B11,BLS!$B$7:$I$64,8,FALSE)</f>
        <v>0.72714883089065552</v>
      </c>
      <c r="D11" s="277">
        <f>C11*'AVG RAS salary'!$F$66</f>
        <v>52711.863440792244</v>
      </c>
      <c r="E11" s="213">
        <f>VLOOKUP(B11,'WF Need'!B12:F71,5,FALSE)</f>
        <v>18</v>
      </c>
      <c r="F11" s="216" t="str">
        <f t="shared" si="0"/>
        <v>Yes</v>
      </c>
      <c r="G11" s="216" t="str">
        <f t="shared" si="1"/>
        <v>Yes</v>
      </c>
      <c r="H11" s="286">
        <f t="shared" si="2"/>
        <v>55369.934978419391</v>
      </c>
      <c r="K11" s="204">
        <f t="shared" si="3"/>
        <v>52711.863440792244</v>
      </c>
    </row>
    <row r="12" spans="1:11" x14ac:dyDescent="0.35">
      <c r="A12" s="212">
        <v>3</v>
      </c>
      <c r="B12" s="203" t="s">
        <v>41</v>
      </c>
      <c r="C12" s="153">
        <f>VLOOKUP(B12,BLS!$B$7:$I$64,8,FALSE)</f>
        <v>1.3362052440643311</v>
      </c>
      <c r="D12" s="277">
        <f>C12*'AVG RAS salary'!$F$66</f>
        <v>96863.070339696293</v>
      </c>
      <c r="E12" s="213">
        <f>VLOOKUP(B12,'WF Need'!B13:F73,5,FALSE)</f>
        <v>337</v>
      </c>
      <c r="F12" s="216" t="str">
        <f t="shared" si="0"/>
        <v/>
      </c>
      <c r="G12" s="216" t="str">
        <f t="shared" si="1"/>
        <v/>
      </c>
      <c r="H12" s="286">
        <f t="shared" si="2"/>
        <v>96863.070339696293</v>
      </c>
      <c r="K12" s="204" t="str">
        <f t="shared" si="3"/>
        <v/>
      </c>
    </row>
    <row r="13" spans="1:11" x14ac:dyDescent="0.35">
      <c r="A13" s="212">
        <v>1</v>
      </c>
      <c r="B13" s="203" t="s">
        <v>8</v>
      </c>
      <c r="C13" s="153">
        <f>VLOOKUP(B13,BLS!$B$7:$I$64,8,FALSE)</f>
        <v>0.76381635665893555</v>
      </c>
      <c r="D13" s="277">
        <f>C13*'AVG RAS salary'!$F$66</f>
        <v>55369.934978419391</v>
      </c>
      <c r="E13" s="213">
        <f>VLOOKUP(B13,'WF Need'!B14:F73,5,FALSE)</f>
        <v>28</v>
      </c>
      <c r="F13" s="216" t="str">
        <f t="shared" si="0"/>
        <v>Yes</v>
      </c>
      <c r="G13" s="216" t="str">
        <f t="shared" si="1"/>
        <v/>
      </c>
      <c r="H13" s="286">
        <f t="shared" si="2"/>
        <v>55369.934978419391</v>
      </c>
      <c r="K13" s="204">
        <f t="shared" si="3"/>
        <v>55369.934978419391</v>
      </c>
    </row>
    <row r="14" spans="1:11" x14ac:dyDescent="0.35">
      <c r="A14" s="212">
        <v>2</v>
      </c>
      <c r="B14" s="203" t="s">
        <v>20</v>
      </c>
      <c r="C14" s="153">
        <f>VLOOKUP(B14,BLS!$B$7:$I$64,8,FALSE)</f>
        <v>1.0880756378173828</v>
      </c>
      <c r="D14" s="277">
        <f>C14*'AVG RAS salary'!$F$66</f>
        <v>78875.866944091176</v>
      </c>
      <c r="E14" s="213">
        <f>VLOOKUP(B14,'WF Need'!B15:F73,5,FALSE)</f>
        <v>74</v>
      </c>
      <c r="F14" s="216" t="str">
        <f t="shared" si="0"/>
        <v/>
      </c>
      <c r="G14" s="216" t="str">
        <f t="shared" si="1"/>
        <v/>
      </c>
      <c r="H14" s="286">
        <f t="shared" si="2"/>
        <v>78875.866944091176</v>
      </c>
      <c r="K14" s="204" t="str">
        <f t="shared" si="3"/>
        <v/>
      </c>
    </row>
    <row r="15" spans="1:11" x14ac:dyDescent="0.35">
      <c r="A15" s="212">
        <v>3</v>
      </c>
      <c r="B15" s="203" t="s">
        <v>42</v>
      </c>
      <c r="C15" s="153">
        <f>VLOOKUP(B15,BLS!$B$7:$I$64,8,FALSE)</f>
        <v>0.92551994323730469</v>
      </c>
      <c r="D15" s="277">
        <f>C15*'AVG RAS salary'!$F$66</f>
        <v>67092.015811809411</v>
      </c>
      <c r="E15" s="213">
        <f>VLOOKUP(B15,'WF Need'!B16:F74,5,FALSE)</f>
        <v>480</v>
      </c>
      <c r="F15" s="216" t="str">
        <f t="shared" si="0"/>
        <v/>
      </c>
      <c r="G15" s="216" t="str">
        <f t="shared" si="1"/>
        <v/>
      </c>
      <c r="H15" s="286">
        <f t="shared" si="2"/>
        <v>67092.015811809411</v>
      </c>
      <c r="K15" s="204" t="str">
        <f t="shared" si="3"/>
        <v/>
      </c>
    </row>
    <row r="16" spans="1:11" x14ac:dyDescent="0.35">
      <c r="A16" s="212">
        <v>1</v>
      </c>
      <c r="B16" s="203" t="s">
        <v>9</v>
      </c>
      <c r="C16" s="153">
        <f>VLOOKUP(B16,BLS!$B$7:$I$64,8,FALSE)</f>
        <v>0.73574227094650269</v>
      </c>
      <c r="D16" s="277">
        <f>C16*'AVG RAS salary'!$F$66</f>
        <v>53334.811892975842</v>
      </c>
      <c r="E16" s="213">
        <f>VLOOKUP(B16,'WF Need'!B17:F75,5,FALSE)</f>
        <v>23</v>
      </c>
      <c r="F16" s="216" t="str">
        <f t="shared" si="0"/>
        <v>Yes</v>
      </c>
      <c r="G16" s="216" t="str">
        <f t="shared" si="1"/>
        <v>Yes</v>
      </c>
      <c r="H16" s="286">
        <f>IF(F16="Yes", IF(G16="Yes",$H$66,D16),D16)</f>
        <v>55369.934978419391</v>
      </c>
      <c r="K16" s="204">
        <f t="shared" si="3"/>
        <v>53334.811892975842</v>
      </c>
    </row>
    <row r="17" spans="1:11" x14ac:dyDescent="0.35">
      <c r="A17" s="212">
        <v>2</v>
      </c>
      <c r="B17" s="203" t="s">
        <v>21</v>
      </c>
      <c r="C17" s="153">
        <f>VLOOKUP(B17,BLS!$B$7:$I$64,8,FALSE)</f>
        <v>0.73561853170394897</v>
      </c>
      <c r="D17" s="277">
        <f>C17*'AVG RAS salary'!$F$66</f>
        <v>53325.841891541932</v>
      </c>
      <c r="E17" s="213">
        <f>VLOOKUP(B17,'WF Need'!B18:F76,5,FALSE)</f>
        <v>85</v>
      </c>
      <c r="F17" s="216" t="str">
        <f t="shared" si="0"/>
        <v/>
      </c>
      <c r="G17" s="216" t="str">
        <f t="shared" si="1"/>
        <v/>
      </c>
      <c r="H17" s="286">
        <f t="shared" si="2"/>
        <v>53325.841891541932</v>
      </c>
      <c r="K17" s="204" t="str">
        <f t="shared" si="3"/>
        <v/>
      </c>
    </row>
    <row r="18" spans="1:11" x14ac:dyDescent="0.35">
      <c r="A18" s="212">
        <v>2</v>
      </c>
      <c r="B18" s="203" t="s">
        <v>22</v>
      </c>
      <c r="C18" s="153">
        <f>VLOOKUP(B18,BLS!$B$7:$I$64,8,FALSE)</f>
        <v>0.69631016254425049</v>
      </c>
      <c r="D18" s="277">
        <f>C18*'AVG RAS salary'!$F$66</f>
        <v>50476.332548745704</v>
      </c>
      <c r="E18" s="213">
        <f>VLOOKUP(B18,'WF Need'!B19:F77,5,FALSE)</f>
        <v>95</v>
      </c>
      <c r="F18" s="216" t="str">
        <f t="shared" si="0"/>
        <v/>
      </c>
      <c r="G18" s="216" t="str">
        <f t="shared" si="1"/>
        <v/>
      </c>
      <c r="H18" s="286">
        <f t="shared" si="2"/>
        <v>50476.332548745704</v>
      </c>
      <c r="K18" s="204" t="str">
        <f t="shared" si="3"/>
        <v/>
      </c>
    </row>
    <row r="19" spans="1:11" x14ac:dyDescent="0.35">
      <c r="A19" s="212">
        <v>1</v>
      </c>
      <c r="B19" s="203" t="s">
        <v>10</v>
      </c>
      <c r="C19" s="153">
        <f>VLOOKUP(B19,BLS!$B$7:$I$64,8,FALSE)</f>
        <v>0.76618307828903198</v>
      </c>
      <c r="D19" s="277">
        <f>C19*'AVG RAS salary'!$F$66</f>
        <v>55541.501378677785</v>
      </c>
      <c r="E19" s="213">
        <f>VLOOKUP(B19,'WF Need'!B20:F78,5,FALSE)</f>
        <v>21</v>
      </c>
      <c r="F19" s="216" t="str">
        <f t="shared" si="0"/>
        <v>Yes</v>
      </c>
      <c r="G19" s="216" t="str">
        <f t="shared" si="1"/>
        <v/>
      </c>
      <c r="H19" s="286">
        <f t="shared" si="2"/>
        <v>55541.501378677785</v>
      </c>
      <c r="K19" s="204">
        <f t="shared" si="3"/>
        <v>55541.501378677785</v>
      </c>
    </row>
    <row r="20" spans="1:11" x14ac:dyDescent="0.35">
      <c r="A20" s="212">
        <v>3</v>
      </c>
      <c r="B20" s="203" t="s">
        <v>43</v>
      </c>
      <c r="C20" s="153">
        <f>VLOOKUP(B20,BLS!$B$7:$I$64,8,FALSE)</f>
        <v>0.91488748788833618</v>
      </c>
      <c r="D20" s="277">
        <f>C20*'AVG RAS salary'!$F$66</f>
        <v>66321.256772413501</v>
      </c>
      <c r="E20" s="213">
        <f>VLOOKUP(B20,'WF Need'!B21:F79,5,FALSE)</f>
        <v>494</v>
      </c>
      <c r="F20" s="216" t="str">
        <f t="shared" si="0"/>
        <v/>
      </c>
      <c r="G20" s="216" t="str">
        <f t="shared" si="1"/>
        <v/>
      </c>
      <c r="H20" s="286">
        <f t="shared" si="2"/>
        <v>66321.256772413501</v>
      </c>
      <c r="K20" s="204" t="str">
        <f t="shared" si="3"/>
        <v/>
      </c>
    </row>
    <row r="21" spans="1:11" x14ac:dyDescent="0.35">
      <c r="A21" s="212">
        <v>2</v>
      </c>
      <c r="B21" s="203" t="s">
        <v>23</v>
      </c>
      <c r="C21" s="153">
        <f>VLOOKUP(B21,BLS!$B$7:$I$64,8,FALSE)</f>
        <v>0.87442696094512939</v>
      </c>
      <c r="D21" s="277">
        <f>C21*'AVG RAS salary'!$F$66</f>
        <v>63388.226173491275</v>
      </c>
      <c r="E21" s="213">
        <f>VLOOKUP(B21,'WF Need'!B22:F80,5,FALSE)</f>
        <v>111</v>
      </c>
      <c r="F21" s="216" t="str">
        <f t="shared" si="0"/>
        <v/>
      </c>
      <c r="G21" s="216" t="str">
        <f t="shared" si="1"/>
        <v/>
      </c>
      <c r="H21" s="286">
        <f t="shared" si="2"/>
        <v>63388.226173491275</v>
      </c>
      <c r="K21" s="204" t="str">
        <f t="shared" si="3"/>
        <v/>
      </c>
    </row>
    <row r="22" spans="1:11" x14ac:dyDescent="0.35">
      <c r="A22" s="212">
        <v>2</v>
      </c>
      <c r="B22" s="203" t="s">
        <v>24</v>
      </c>
      <c r="C22" s="153">
        <f>VLOOKUP(B22,BLS!$B$7:$I$64,8,FALSE)</f>
        <v>0.73263388872146606</v>
      </c>
      <c r="D22" s="277">
        <f>C22*'AVG RAS salary'!$F$66</f>
        <v>53109.481654643168</v>
      </c>
      <c r="E22" s="213">
        <f>VLOOKUP(B22,'WF Need'!B23:F81,5,FALSE)</f>
        <v>55</v>
      </c>
      <c r="F22" s="216" t="str">
        <f t="shared" si="0"/>
        <v/>
      </c>
      <c r="G22" s="216" t="str">
        <f t="shared" si="1"/>
        <v/>
      </c>
      <c r="H22" s="286">
        <f t="shared" si="2"/>
        <v>53109.481654643168</v>
      </c>
      <c r="K22" s="204" t="str">
        <f t="shared" si="3"/>
        <v/>
      </c>
    </row>
    <row r="23" spans="1:11" x14ac:dyDescent="0.35">
      <c r="A23" s="212">
        <v>1</v>
      </c>
      <c r="B23" s="203" t="s">
        <v>11</v>
      </c>
      <c r="C23" s="153">
        <f>VLOOKUP(B23,BLS!$B$7:$I$64,8,FALSE)</f>
        <v>0.80263936519622803</v>
      </c>
      <c r="D23" s="277">
        <f>C23*'AVG RAS salary'!$F$66</f>
        <v>58184.259965880177</v>
      </c>
      <c r="E23" s="213">
        <f>VLOOKUP(B23,'WF Need'!B24:F82,5,FALSE)</f>
        <v>21</v>
      </c>
      <c r="F23" s="216" t="str">
        <f t="shared" si="0"/>
        <v>Yes</v>
      </c>
      <c r="G23" s="216" t="str">
        <f t="shared" si="1"/>
        <v/>
      </c>
      <c r="H23" s="286">
        <f t="shared" si="2"/>
        <v>58184.259965880177</v>
      </c>
      <c r="K23" s="204">
        <f t="shared" si="3"/>
        <v>58184.259965880177</v>
      </c>
    </row>
    <row r="24" spans="1:11" x14ac:dyDescent="0.35">
      <c r="A24" s="212">
        <v>4</v>
      </c>
      <c r="B24" s="203" t="s">
        <v>54</v>
      </c>
      <c r="C24" s="153">
        <f>VLOOKUP(B24,BLS!$B$7:$I$64,8,FALSE)</f>
        <v>1.3905229568481445</v>
      </c>
      <c r="D24" s="277">
        <f>C24*'AVG RAS salary'!$F$66</f>
        <v>100800.62443734855</v>
      </c>
      <c r="E24" s="213">
        <f>VLOOKUP(B24,'WF Need'!B25:F83,5,FALSE)</f>
        <v>4370</v>
      </c>
      <c r="F24" s="216" t="str">
        <f t="shared" si="0"/>
        <v/>
      </c>
      <c r="G24" s="216" t="str">
        <f t="shared" si="1"/>
        <v/>
      </c>
      <c r="H24" s="286">
        <f t="shared" si="2"/>
        <v>100800.62443734855</v>
      </c>
      <c r="K24" s="204" t="str">
        <f t="shared" si="3"/>
        <v/>
      </c>
    </row>
    <row r="25" spans="1:11" x14ac:dyDescent="0.35">
      <c r="A25" s="212">
        <v>2</v>
      </c>
      <c r="B25" s="203" t="s">
        <v>25</v>
      </c>
      <c r="C25" s="153">
        <f>VLOOKUP(B25,BLS!$B$7:$I$64,8,FALSE)</f>
        <v>0.91823530197143555</v>
      </c>
      <c r="D25" s="277">
        <f>C25*'AVG RAS salary'!$F$66</f>
        <v>66563.943704272198</v>
      </c>
      <c r="E25" s="213">
        <f>VLOOKUP(B25,'WF Need'!B26:F84,5,FALSE)</f>
        <v>108</v>
      </c>
      <c r="F25" s="216" t="str">
        <f t="shared" si="0"/>
        <v/>
      </c>
      <c r="G25" s="216" t="str">
        <f t="shared" si="1"/>
        <v/>
      </c>
      <c r="H25" s="286">
        <f t="shared" si="2"/>
        <v>66563.943704272198</v>
      </c>
      <c r="K25" s="204" t="str">
        <f t="shared" si="3"/>
        <v/>
      </c>
    </row>
    <row r="26" spans="1:11" x14ac:dyDescent="0.35">
      <c r="A26" s="212">
        <v>2</v>
      </c>
      <c r="B26" s="203" t="s">
        <v>26</v>
      </c>
      <c r="C26" s="153">
        <f>VLOOKUP(B26,BLS!$B$7:$I$64,8,FALSE)</f>
        <v>1.3162022829055786</v>
      </c>
      <c r="D26" s="277">
        <f>C26*'AVG RAS salary'!$F$66</f>
        <v>95413.032448938568</v>
      </c>
      <c r="E26" s="213">
        <f>VLOOKUP(B26,'WF Need'!B27:F85,5,FALSE)</f>
        <v>100</v>
      </c>
      <c r="F26" s="216" t="str">
        <f t="shared" si="0"/>
        <v/>
      </c>
      <c r="G26" s="216" t="str">
        <f t="shared" si="1"/>
        <v/>
      </c>
      <c r="H26" s="286">
        <f t="shared" si="2"/>
        <v>95413.032448938568</v>
      </c>
      <c r="K26" s="204" t="str">
        <f t="shared" si="3"/>
        <v/>
      </c>
    </row>
    <row r="27" spans="1:11" x14ac:dyDescent="0.35">
      <c r="A27" s="212">
        <v>1</v>
      </c>
      <c r="B27" s="203" t="s">
        <v>12</v>
      </c>
      <c r="C27" s="153">
        <f>VLOOKUP(B27,BLS!$B$7:$I$64,8,FALSE)</f>
        <v>0.86769145727157593</v>
      </c>
      <c r="D27" s="277">
        <f>C27*'AVG RAS salary'!$F$66</f>
        <v>62899.961687924508</v>
      </c>
      <c r="E27" s="213">
        <f>VLOOKUP(B27,'WF Need'!B28:F86,5,FALSE)</f>
        <v>14</v>
      </c>
      <c r="F27" s="216" t="str">
        <f t="shared" si="0"/>
        <v>Yes</v>
      </c>
      <c r="G27" s="216" t="str">
        <f t="shared" si="1"/>
        <v/>
      </c>
      <c r="H27" s="286">
        <f t="shared" si="2"/>
        <v>62899.961687924508</v>
      </c>
      <c r="K27" s="204">
        <f t="shared" si="3"/>
        <v>62899.961687924508</v>
      </c>
    </row>
    <row r="28" spans="1:11" x14ac:dyDescent="0.35">
      <c r="A28" s="212">
        <v>2</v>
      </c>
      <c r="B28" s="203" t="s">
        <v>27</v>
      </c>
      <c r="C28" s="153">
        <f>VLOOKUP(B28,BLS!$B$7:$I$64,8,FALSE)</f>
        <v>0.79256832599639893</v>
      </c>
      <c r="D28" s="277">
        <f>C28*'AVG RAS salary'!$F$66</f>
        <v>57454.1986353022</v>
      </c>
      <c r="E28" s="213">
        <f>VLOOKUP(B28,'WF Need'!B29:F87,5,FALSE)</f>
        <v>61</v>
      </c>
      <c r="F28" s="216" t="str">
        <f t="shared" si="0"/>
        <v/>
      </c>
      <c r="G28" s="216" t="str">
        <f t="shared" si="1"/>
        <v/>
      </c>
      <c r="H28" s="286">
        <f t="shared" si="2"/>
        <v>57454.1986353022</v>
      </c>
      <c r="K28" s="204" t="str">
        <f t="shared" si="3"/>
        <v/>
      </c>
    </row>
    <row r="29" spans="1:11" x14ac:dyDescent="0.35">
      <c r="A29" s="212">
        <v>2</v>
      </c>
      <c r="B29" s="203" t="s">
        <v>28</v>
      </c>
      <c r="C29" s="153">
        <f>VLOOKUP(B29,BLS!$B$7:$I$64,8,FALSE)</f>
        <v>0.8015282154083252</v>
      </c>
      <c r="D29" s="277">
        <f>C29*'AVG RAS salary'!$F$66</f>
        <v>58103.711426992399</v>
      </c>
      <c r="E29" s="213">
        <f>VLOOKUP(B29,'WF Need'!B30:F88,5,FALSE)</f>
        <v>154</v>
      </c>
      <c r="F29" s="216" t="str">
        <f t="shared" si="0"/>
        <v/>
      </c>
      <c r="G29" s="216" t="str">
        <f t="shared" si="1"/>
        <v/>
      </c>
      <c r="H29" s="286">
        <f t="shared" si="2"/>
        <v>58103.711426992399</v>
      </c>
      <c r="K29" s="204" t="str">
        <f t="shared" si="3"/>
        <v/>
      </c>
    </row>
    <row r="30" spans="1:11" x14ac:dyDescent="0.35">
      <c r="A30" s="212">
        <v>1</v>
      </c>
      <c r="B30" s="203" t="s">
        <v>13</v>
      </c>
      <c r="C30" s="153">
        <f>VLOOKUP(B30,BLS!$B$7:$I$64,8,FALSE)</f>
        <v>0.55943965911865234</v>
      </c>
      <c r="D30" s="277">
        <f>C30*'AVG RAS salary'!$F$66</f>
        <v>40554.430760351686</v>
      </c>
      <c r="E30" s="213">
        <f>VLOOKUP(B30,'WF Need'!B31:F89,5,FALSE)</f>
        <v>10</v>
      </c>
      <c r="F30" s="216" t="str">
        <f t="shared" si="0"/>
        <v>Yes</v>
      </c>
      <c r="G30" s="216" t="str">
        <f t="shared" si="1"/>
        <v>Yes</v>
      </c>
      <c r="H30" s="286">
        <f t="shared" si="2"/>
        <v>55369.934978419391</v>
      </c>
      <c r="K30" s="204">
        <f t="shared" si="3"/>
        <v>40554.430760351686</v>
      </c>
    </row>
    <row r="31" spans="1:11" x14ac:dyDescent="0.35">
      <c r="A31" s="212">
        <v>1</v>
      </c>
      <c r="B31" s="203" t="s">
        <v>14</v>
      </c>
      <c r="C31" s="153">
        <f>VLOOKUP(B31,BLS!$B$7:$I$64,8,FALSE)</f>
        <v>0.90215259790420532</v>
      </c>
      <c r="D31" s="277">
        <f>C31*'AVG RAS salary'!$F$66</f>
        <v>65398.089804029878</v>
      </c>
      <c r="E31" s="213">
        <f>VLOOKUP(B31,'WF Need'!B32:F90,5,FALSE)</f>
        <v>14</v>
      </c>
      <c r="F31" s="216" t="str">
        <f t="shared" si="0"/>
        <v>Yes</v>
      </c>
      <c r="G31" s="216" t="str">
        <f t="shared" si="1"/>
        <v/>
      </c>
      <c r="H31" s="286">
        <f t="shared" si="2"/>
        <v>65398.089804029878</v>
      </c>
      <c r="K31" s="204">
        <f t="shared" si="3"/>
        <v>65398.089804029878</v>
      </c>
    </row>
    <row r="32" spans="1:11" x14ac:dyDescent="0.35">
      <c r="A32" s="212">
        <v>3</v>
      </c>
      <c r="B32" s="203" t="s">
        <v>44</v>
      </c>
      <c r="C32" s="153">
        <f>VLOOKUP(B32,BLS!$B$7:$I$64,8,FALSE)</f>
        <v>1.1359313726425171</v>
      </c>
      <c r="D32" s="277">
        <f>C32*'AVG RAS salary'!$F$66</f>
        <v>82344.984752987963</v>
      </c>
      <c r="E32" s="213">
        <f>VLOOKUP(B32,'WF Need'!B33:F91,5,FALSE)</f>
        <v>199</v>
      </c>
      <c r="F32" s="216" t="str">
        <f t="shared" si="0"/>
        <v/>
      </c>
      <c r="G32" s="216" t="str">
        <f t="shared" si="1"/>
        <v/>
      </c>
      <c r="H32" s="286">
        <f t="shared" si="2"/>
        <v>82344.984752987963</v>
      </c>
      <c r="K32" s="204" t="str">
        <f t="shared" si="3"/>
        <v/>
      </c>
    </row>
    <row r="33" spans="1:11" x14ac:dyDescent="0.35">
      <c r="A33" s="212">
        <v>2</v>
      </c>
      <c r="B33" s="203" t="s">
        <v>29</v>
      </c>
      <c r="C33" s="153">
        <f>VLOOKUP(B33,BLS!$B$7:$I$64,8,FALSE)</f>
        <v>1.2594999074935913</v>
      </c>
      <c r="D33" s="277">
        <f>C33*'AVG RAS salary'!$F$66</f>
        <v>91302.611387236189</v>
      </c>
      <c r="E33" s="213">
        <f>VLOOKUP(B33,'WF Need'!B34:F92,5,FALSE)</f>
        <v>66</v>
      </c>
      <c r="F33" s="216" t="str">
        <f t="shared" si="0"/>
        <v/>
      </c>
      <c r="G33" s="216" t="str">
        <f t="shared" si="1"/>
        <v/>
      </c>
      <c r="H33" s="286">
        <f t="shared" si="2"/>
        <v>91302.611387236189</v>
      </c>
      <c r="K33" s="204" t="str">
        <f t="shared" si="3"/>
        <v/>
      </c>
    </row>
    <row r="34" spans="1:11" x14ac:dyDescent="0.35">
      <c r="A34" s="212">
        <v>2</v>
      </c>
      <c r="B34" s="203" t="s">
        <v>30</v>
      </c>
      <c r="C34" s="153">
        <f>VLOOKUP(B34,BLS!$B$7:$I$64,8,FALSE)</f>
        <v>1.0679706335067749</v>
      </c>
      <c r="D34" s="277">
        <f>C34*'AVG RAS salary'!$F$66</f>
        <v>77418.431826717439</v>
      </c>
      <c r="E34" s="213">
        <f>VLOOKUP(B34,'WF Need'!B35:F93,5,FALSE)</f>
        <v>51</v>
      </c>
      <c r="F34" s="216" t="str">
        <f t="shared" si="0"/>
        <v/>
      </c>
      <c r="G34" s="216" t="str">
        <f t="shared" si="1"/>
        <v/>
      </c>
      <c r="H34" s="286">
        <f t="shared" si="2"/>
        <v>77418.431826717439</v>
      </c>
      <c r="K34" s="204" t="str">
        <f t="shared" si="3"/>
        <v/>
      </c>
    </row>
    <row r="35" spans="1:11" x14ac:dyDescent="0.35">
      <c r="A35" s="212">
        <v>4</v>
      </c>
      <c r="B35" s="203" t="s">
        <v>55</v>
      </c>
      <c r="C35" s="153">
        <f>VLOOKUP(B35,BLS!$B$7:$I$64,8,FALSE)</f>
        <v>1.2435827255249023</v>
      </c>
      <c r="D35" s="277">
        <f>C35*'AVG RAS salary'!$F$66</f>
        <v>90148.756376195204</v>
      </c>
      <c r="E35" s="213">
        <f>VLOOKUP(B35,'WF Need'!B36:F94,5,FALSE)</f>
        <v>1309</v>
      </c>
      <c r="F35" s="216" t="str">
        <f t="shared" si="0"/>
        <v/>
      </c>
      <c r="G35" s="216" t="str">
        <f t="shared" si="1"/>
        <v/>
      </c>
      <c r="H35" s="286">
        <f t="shared" si="2"/>
        <v>90148.756376195204</v>
      </c>
      <c r="K35" s="204" t="str">
        <f t="shared" si="3"/>
        <v/>
      </c>
    </row>
    <row r="36" spans="1:11" x14ac:dyDescent="0.35">
      <c r="A36" s="212">
        <v>2</v>
      </c>
      <c r="B36" s="203" t="s">
        <v>31</v>
      </c>
      <c r="C36" s="153">
        <f>VLOOKUP(B36,BLS!$B$7:$I$64,8,FALSE)</f>
        <v>1.17447829246521</v>
      </c>
      <c r="D36" s="277">
        <f>C36*'AVG RAS salary'!$F$66</f>
        <v>85139.295748810066</v>
      </c>
      <c r="E36" s="213">
        <f>VLOOKUP(B36,'WF Need'!B37:F95,5,FALSE)</f>
        <v>164</v>
      </c>
      <c r="F36" s="216" t="str">
        <f t="shared" si="0"/>
        <v/>
      </c>
      <c r="G36" s="216" t="str">
        <f t="shared" si="1"/>
        <v/>
      </c>
      <c r="H36" s="286">
        <f t="shared" si="2"/>
        <v>85139.295748810066</v>
      </c>
      <c r="K36" s="204" t="str">
        <f t="shared" si="3"/>
        <v/>
      </c>
    </row>
    <row r="37" spans="1:11" x14ac:dyDescent="0.35">
      <c r="A37" s="212">
        <v>1</v>
      </c>
      <c r="B37" s="203" t="s">
        <v>15</v>
      </c>
      <c r="C37" s="153">
        <f>VLOOKUP(B37,BLS!$B$7:$I$64,8,FALSE)</f>
        <v>0.70373260974884033</v>
      </c>
      <c r="D37" s="277">
        <f>C37*'AVG RAS salary'!$F$66</f>
        <v>51014.394368862508</v>
      </c>
      <c r="E37" s="213">
        <f>VLOOKUP(B37,'WF Need'!B38:F96,5,FALSE)</f>
        <v>13</v>
      </c>
      <c r="F37" s="216" t="str">
        <f t="shared" si="0"/>
        <v>Yes</v>
      </c>
      <c r="G37" s="216" t="str">
        <f t="shared" si="1"/>
        <v>Yes</v>
      </c>
      <c r="H37" s="286">
        <f t="shared" si="2"/>
        <v>55369.934978419391</v>
      </c>
      <c r="K37" s="204">
        <f t="shared" si="3"/>
        <v>51014.394368862508</v>
      </c>
    </row>
    <row r="38" spans="1:11" x14ac:dyDescent="0.35">
      <c r="A38" s="212">
        <v>4</v>
      </c>
      <c r="B38" s="203" t="s">
        <v>56</v>
      </c>
      <c r="C38" s="153">
        <f>VLOOKUP(B38,BLS!$B$7:$I$64,8,FALSE)</f>
        <v>1.0981889963150024</v>
      </c>
      <c r="D38" s="277">
        <f>C38*'AVG RAS salary'!$F$66</f>
        <v>79608.996049726047</v>
      </c>
      <c r="E38" s="213">
        <f>VLOOKUP(B38,'WF Need'!B39:F97,5,FALSE)</f>
        <v>1020</v>
      </c>
      <c r="F38" s="216" t="str">
        <f t="shared" si="0"/>
        <v/>
      </c>
      <c r="G38" s="216" t="str">
        <f t="shared" si="1"/>
        <v/>
      </c>
      <c r="H38" s="286">
        <f t="shared" si="2"/>
        <v>79608.996049726047</v>
      </c>
      <c r="K38" s="204" t="str">
        <f t="shared" si="3"/>
        <v/>
      </c>
    </row>
    <row r="39" spans="1:11" x14ac:dyDescent="0.35">
      <c r="A39" s="212">
        <v>4</v>
      </c>
      <c r="B39" s="203" t="s">
        <v>57</v>
      </c>
      <c r="C39" s="153">
        <f>VLOOKUP(B39,BLS!$B$7:$I$64,8,FALSE)</f>
        <v>1.3188714981079102</v>
      </c>
      <c r="D39" s="277">
        <f>C39*'AVG RAS salary'!$F$66</f>
        <v>95606.526959638737</v>
      </c>
      <c r="E39" s="213">
        <f>VLOOKUP(B39,'WF Need'!B40:F98,5,FALSE)</f>
        <v>670</v>
      </c>
      <c r="F39" s="216" t="str">
        <f t="shared" si="0"/>
        <v/>
      </c>
      <c r="G39" s="216" t="str">
        <f t="shared" si="1"/>
        <v/>
      </c>
      <c r="H39" s="286">
        <f t="shared" si="2"/>
        <v>95606.526959638737</v>
      </c>
      <c r="K39" s="204" t="str">
        <f t="shared" si="3"/>
        <v/>
      </c>
    </row>
    <row r="40" spans="1:11" x14ac:dyDescent="0.35">
      <c r="A40" s="212">
        <v>1</v>
      </c>
      <c r="B40" s="203" t="s">
        <v>16</v>
      </c>
      <c r="C40" s="153">
        <f>VLOOKUP(B40,BLS!$B$7:$I$64,8,FALSE)</f>
        <v>1.0188114643096924</v>
      </c>
      <c r="D40" s="277">
        <f>C40*'AVG RAS salary'!$F$66</f>
        <v>73854.826546068813</v>
      </c>
      <c r="E40" s="213">
        <f>VLOOKUP(B40,'WF Need'!B41:F99,5,FALSE)</f>
        <v>30</v>
      </c>
      <c r="F40" s="216" t="str">
        <f t="shared" si="0"/>
        <v>Yes</v>
      </c>
      <c r="G40" s="216" t="str">
        <f t="shared" si="1"/>
        <v/>
      </c>
      <c r="H40" s="286">
        <f t="shared" si="2"/>
        <v>73854.826546068813</v>
      </c>
      <c r="K40" s="204">
        <f t="shared" si="3"/>
        <v>73854.826546068813</v>
      </c>
    </row>
    <row r="41" spans="1:11" x14ac:dyDescent="0.35">
      <c r="A41" s="212">
        <v>4</v>
      </c>
      <c r="B41" s="203" t="s">
        <v>58</v>
      </c>
      <c r="C41" s="153">
        <f>VLOOKUP(B41,BLS!$B$7:$I$64,8,FALSE)</f>
        <v>1.115166187286377</v>
      </c>
      <c r="D41" s="277">
        <f>C41*'AVG RAS salary'!$F$66</f>
        <v>80839.692344726907</v>
      </c>
      <c r="E41" s="213">
        <f>VLOOKUP(B41,'WF Need'!B42:F100,5,FALSE)</f>
        <v>1106</v>
      </c>
      <c r="F41" s="216" t="str">
        <f t="shared" si="0"/>
        <v/>
      </c>
      <c r="G41" s="216" t="str">
        <f t="shared" si="1"/>
        <v/>
      </c>
      <c r="H41" s="286">
        <f t="shared" si="2"/>
        <v>80839.692344726907</v>
      </c>
      <c r="K41" s="204" t="str">
        <f t="shared" si="3"/>
        <v/>
      </c>
    </row>
    <row r="42" spans="1:11" x14ac:dyDescent="0.35">
      <c r="A42" s="212">
        <v>4</v>
      </c>
      <c r="B42" s="203" t="s">
        <v>59</v>
      </c>
      <c r="C42" s="153">
        <f>VLOOKUP(B42,BLS!$B$7:$I$64,8,FALSE)</f>
        <v>1.1678495407104492</v>
      </c>
      <c r="D42" s="277">
        <f>C42*'AVG RAS salary'!$F$66</f>
        <v>84658.769833844519</v>
      </c>
      <c r="E42" s="213">
        <f>VLOOKUP(B42,'WF Need'!B43:F101,5,FALSE)</f>
        <v>1125</v>
      </c>
      <c r="F42" s="216" t="str">
        <f t="shared" si="0"/>
        <v/>
      </c>
      <c r="G42" s="216" t="str">
        <f t="shared" si="1"/>
        <v/>
      </c>
      <c r="H42" s="286">
        <f t="shared" si="2"/>
        <v>84658.769833844519</v>
      </c>
      <c r="K42" s="204" t="str">
        <f t="shared" si="3"/>
        <v/>
      </c>
    </row>
    <row r="43" spans="1:11" x14ac:dyDescent="0.35">
      <c r="A43" s="212">
        <v>3</v>
      </c>
      <c r="B43" s="203" t="s">
        <v>60</v>
      </c>
      <c r="C43" s="153">
        <f>VLOOKUP(B43,BLS!$B$7:$I$64,8,FALSE)</f>
        <v>1.6257103681564331</v>
      </c>
      <c r="D43" s="277">
        <f>C43*'AVG RAS salary'!$F$66</f>
        <v>117849.63308760128</v>
      </c>
      <c r="E43" s="213">
        <f>VLOOKUP(B43,'WF Need'!B44:F102,5,FALSE)</f>
        <v>274</v>
      </c>
      <c r="F43" s="216" t="str">
        <f t="shared" si="0"/>
        <v/>
      </c>
      <c r="G43" s="216" t="str">
        <f t="shared" si="1"/>
        <v/>
      </c>
      <c r="H43" s="286">
        <f t="shared" si="2"/>
        <v>117849.63308760128</v>
      </c>
      <c r="K43" s="204" t="str">
        <f t="shared" si="3"/>
        <v/>
      </c>
    </row>
    <row r="44" spans="1:11" x14ac:dyDescent="0.35">
      <c r="A44" s="212">
        <v>3</v>
      </c>
      <c r="B44" s="203" t="s">
        <v>45</v>
      </c>
      <c r="C44" s="153">
        <f>VLOOKUP(B44,BLS!$B$7:$I$64,8,FALSE)</f>
        <v>1.0376924276351929</v>
      </c>
      <c r="D44" s="277">
        <f>C44*'AVG RAS salary'!$F$66</f>
        <v>75223.529510529799</v>
      </c>
      <c r="E44" s="213">
        <f>VLOOKUP(B44,'WF Need'!B45:F103,5,FALSE)</f>
        <v>362</v>
      </c>
      <c r="F44" s="216" t="str">
        <f t="shared" si="0"/>
        <v/>
      </c>
      <c r="G44" s="216" t="str">
        <f t="shared" si="1"/>
        <v/>
      </c>
      <c r="H44" s="286">
        <f t="shared" si="2"/>
        <v>75223.529510529799</v>
      </c>
      <c r="K44" s="204" t="str">
        <f t="shared" si="3"/>
        <v/>
      </c>
    </row>
    <row r="45" spans="1:11" x14ac:dyDescent="0.35">
      <c r="A45" s="212">
        <v>2</v>
      </c>
      <c r="B45" s="203" t="s">
        <v>32</v>
      </c>
      <c r="C45" s="153">
        <f>VLOOKUP(B45,BLS!$B$7:$I$64,8,FALSE)</f>
        <v>1.0355483293533325</v>
      </c>
      <c r="D45" s="277">
        <f>C45*'AVG RAS salary'!$F$66</f>
        <v>75068.10133539456</v>
      </c>
      <c r="E45" s="213">
        <f>VLOOKUP(B45,'WF Need'!B46:F104,5,FALSE)</f>
        <v>137</v>
      </c>
      <c r="F45" s="216" t="str">
        <f t="shared" si="0"/>
        <v/>
      </c>
      <c r="G45" s="216" t="str">
        <f t="shared" si="1"/>
        <v/>
      </c>
      <c r="H45" s="286">
        <f t="shared" si="2"/>
        <v>75068.10133539456</v>
      </c>
      <c r="K45" s="204" t="str">
        <f t="shared" si="3"/>
        <v/>
      </c>
    </row>
    <row r="46" spans="1:11" x14ac:dyDescent="0.35">
      <c r="A46" s="212">
        <v>3</v>
      </c>
      <c r="B46" s="203" t="s">
        <v>46</v>
      </c>
      <c r="C46" s="153">
        <f>VLOOKUP(B46,BLS!$B$7:$I$64,8,FALSE)</f>
        <v>1.554282546043396</v>
      </c>
      <c r="D46" s="277">
        <f>C46*'AVG RAS salary'!$F$66</f>
        <v>112671.74728878359</v>
      </c>
      <c r="E46" s="213">
        <f>VLOOKUP(B46,'WF Need'!B47:F105,5,FALSE)</f>
        <v>251</v>
      </c>
      <c r="F46" s="216" t="str">
        <f t="shared" si="0"/>
        <v/>
      </c>
      <c r="G46" s="216" t="str">
        <f t="shared" si="1"/>
        <v/>
      </c>
      <c r="H46" s="286">
        <f t="shared" si="2"/>
        <v>112671.74728878359</v>
      </c>
      <c r="K46" s="204" t="str">
        <f t="shared" si="3"/>
        <v/>
      </c>
    </row>
    <row r="47" spans="1:11" x14ac:dyDescent="0.35">
      <c r="A47" s="212">
        <v>3</v>
      </c>
      <c r="B47" s="203" t="s">
        <v>47</v>
      </c>
      <c r="C47" s="153">
        <f>VLOOKUP(B47,BLS!$B$7:$I$64,8,FALSE)</f>
        <v>1.2152726650238037</v>
      </c>
      <c r="D47" s="277">
        <f>C47*'AVG RAS salary'!$F$66</f>
        <v>88096.52720420211</v>
      </c>
      <c r="E47" s="213">
        <f>VLOOKUP(B47,'WF Need'!B48:F106,5,FALSE)</f>
        <v>184</v>
      </c>
      <c r="F47" s="216" t="str">
        <f t="shared" si="0"/>
        <v/>
      </c>
      <c r="G47" s="216" t="str">
        <f t="shared" si="1"/>
        <v/>
      </c>
      <c r="H47" s="286">
        <f t="shared" si="2"/>
        <v>88096.52720420211</v>
      </c>
      <c r="K47" s="204" t="str">
        <f t="shared" si="3"/>
        <v/>
      </c>
    </row>
    <row r="48" spans="1:11" x14ac:dyDescent="0.35">
      <c r="A48" s="212">
        <v>4</v>
      </c>
      <c r="B48" s="203" t="s">
        <v>61</v>
      </c>
      <c r="C48" s="153">
        <f>VLOOKUP(B48,BLS!$B$7:$I$64,8,FALSE)</f>
        <v>1.499026894569397</v>
      </c>
      <c r="D48" s="277">
        <f>C48*'AVG RAS salary'!$F$66</f>
        <v>108666.20092592706</v>
      </c>
      <c r="E48" s="213">
        <f>VLOOKUP(B48,'WF Need'!B49:F107,5,FALSE)</f>
        <v>520</v>
      </c>
      <c r="F48" s="216" t="str">
        <f t="shared" si="0"/>
        <v/>
      </c>
      <c r="G48" s="216" t="str">
        <f t="shared" si="1"/>
        <v/>
      </c>
      <c r="H48" s="286">
        <f t="shared" si="2"/>
        <v>108666.20092592706</v>
      </c>
      <c r="K48" s="204" t="str">
        <f t="shared" si="3"/>
        <v/>
      </c>
    </row>
    <row r="49" spans="1:11" x14ac:dyDescent="0.35">
      <c r="A49" s="212">
        <v>2</v>
      </c>
      <c r="B49" s="203" t="s">
        <v>33</v>
      </c>
      <c r="C49" s="153">
        <f>VLOOKUP(B49,BLS!$B$7:$I$64,8,FALSE)</f>
        <v>1.1387718915939331</v>
      </c>
      <c r="D49" s="277">
        <f>C49*'AVG RAS salary'!$F$66</f>
        <v>82550.897271453578</v>
      </c>
      <c r="E49" s="213">
        <f>VLOOKUP(B49,'WF Need'!B50:F108,5,FALSE)</f>
        <v>114</v>
      </c>
      <c r="F49" s="216" t="str">
        <f t="shared" si="0"/>
        <v/>
      </c>
      <c r="G49" s="216" t="str">
        <f t="shared" si="1"/>
        <v/>
      </c>
      <c r="H49" s="286">
        <f t="shared" si="2"/>
        <v>82550.897271453578</v>
      </c>
      <c r="K49" s="204" t="str">
        <f t="shared" si="3"/>
        <v/>
      </c>
    </row>
    <row r="50" spans="1:11" x14ac:dyDescent="0.35">
      <c r="A50" s="212">
        <v>2</v>
      </c>
      <c r="B50" s="203" t="s">
        <v>34</v>
      </c>
      <c r="C50" s="153">
        <f>VLOOKUP(B50,BLS!$B$7:$I$64,8,FALSE)</f>
        <v>0.88244163990020752</v>
      </c>
      <c r="D50" s="277">
        <f>C50*'AVG RAS salary'!$F$66</f>
        <v>63969.219561164617</v>
      </c>
      <c r="E50" s="213">
        <f>VLOOKUP(B50,'WF Need'!B51:F109,5,FALSE)</f>
        <v>151</v>
      </c>
      <c r="F50" s="216" t="str">
        <f t="shared" si="0"/>
        <v/>
      </c>
      <c r="G50" s="216" t="str">
        <f t="shared" si="1"/>
        <v/>
      </c>
      <c r="H50" s="286">
        <f t="shared" si="2"/>
        <v>63969.219561164617</v>
      </c>
      <c r="K50" s="204" t="str">
        <f t="shared" si="3"/>
        <v/>
      </c>
    </row>
    <row r="51" spans="1:11" x14ac:dyDescent="0.35">
      <c r="A51" s="212">
        <v>1</v>
      </c>
      <c r="B51" s="203" t="s">
        <v>17</v>
      </c>
      <c r="C51" s="153">
        <f>VLOOKUP(B51,BLS!$B$7:$I$64,8,FALSE)</f>
        <v>0.62195944786071777</v>
      </c>
      <c r="D51" s="277">
        <f>C51*'AVG RAS salary'!$F$66</f>
        <v>45086.562872126335</v>
      </c>
      <c r="E51" s="213">
        <f>VLOOKUP(B51,'WF Need'!B52:F110,5,FALSE)</f>
        <v>3</v>
      </c>
      <c r="F51" s="216" t="str">
        <f t="shared" si="0"/>
        <v>Yes</v>
      </c>
      <c r="G51" s="216" t="str">
        <f t="shared" si="1"/>
        <v>Yes</v>
      </c>
      <c r="H51" s="286">
        <f t="shared" si="2"/>
        <v>55369.934978419391</v>
      </c>
      <c r="K51" s="204">
        <f t="shared" si="3"/>
        <v>45086.562872126335</v>
      </c>
    </row>
    <row r="52" spans="1:11" x14ac:dyDescent="0.35">
      <c r="A52" s="212">
        <v>2</v>
      </c>
      <c r="B52" s="203" t="s">
        <v>35</v>
      </c>
      <c r="C52" s="153">
        <f>VLOOKUP(B52,BLS!$B$7:$I$64,8,FALSE)</f>
        <v>0.68741786479949951</v>
      </c>
      <c r="D52" s="277">
        <f>C52*'AVG RAS salary'!$F$66</f>
        <v>49831.71955552663</v>
      </c>
      <c r="E52" s="213">
        <f>VLOOKUP(B52,'WF Need'!B53:F111,5,FALSE)</f>
        <v>38</v>
      </c>
      <c r="F52" s="216" t="str">
        <f t="shared" si="0"/>
        <v>Yes</v>
      </c>
      <c r="G52" s="216" t="str">
        <f t="shared" si="1"/>
        <v>Yes</v>
      </c>
      <c r="H52" s="286">
        <f t="shared" si="2"/>
        <v>55369.934978419391</v>
      </c>
      <c r="K52" s="204">
        <f t="shared" si="3"/>
        <v>49831.71955552663</v>
      </c>
    </row>
    <row r="53" spans="1:11" x14ac:dyDescent="0.35">
      <c r="A53" s="212">
        <v>3</v>
      </c>
      <c r="B53" s="203" t="s">
        <v>48</v>
      </c>
      <c r="C53" s="153">
        <f>VLOOKUP(B53,BLS!$B$7:$I$64,8,FALSE)</f>
        <v>1.2033621072769165</v>
      </c>
      <c r="D53" s="277">
        <f>C53*'AVG RAS salary'!$F$66</f>
        <v>87233.117037278527</v>
      </c>
      <c r="E53" s="213">
        <f>VLOOKUP(B53,'WF Need'!B54:F112,5,FALSE)</f>
        <v>187</v>
      </c>
      <c r="F53" s="216" t="str">
        <f t="shared" si="0"/>
        <v/>
      </c>
      <c r="G53" s="216" t="str">
        <f t="shared" si="1"/>
        <v/>
      </c>
      <c r="H53" s="286">
        <f t="shared" si="2"/>
        <v>87233.117037278527</v>
      </c>
      <c r="K53" s="204" t="str">
        <f t="shared" si="3"/>
        <v/>
      </c>
    </row>
    <row r="54" spans="1:11" x14ac:dyDescent="0.35">
      <c r="A54" s="212">
        <v>3</v>
      </c>
      <c r="B54" s="203" t="s">
        <v>49</v>
      </c>
      <c r="C54" s="153">
        <f>VLOOKUP(B54,BLS!$B$7:$I$64,8,FALSE)</f>
        <v>1.2121275663375854</v>
      </c>
      <c r="D54" s="277">
        <f>C54*'AVG RAS salary'!$F$66</f>
        <v>87868.535346946854</v>
      </c>
      <c r="E54" s="213">
        <f>VLOOKUP(B54,'WF Need'!B55:F113,5,FALSE)</f>
        <v>188</v>
      </c>
      <c r="F54" s="216" t="str">
        <f t="shared" si="0"/>
        <v/>
      </c>
      <c r="G54" s="216" t="str">
        <f t="shared" si="1"/>
        <v/>
      </c>
      <c r="H54" s="286">
        <f t="shared" si="2"/>
        <v>87868.535346946854</v>
      </c>
      <c r="K54" s="204" t="str">
        <f t="shared" si="3"/>
        <v/>
      </c>
    </row>
    <row r="55" spans="1:11" x14ac:dyDescent="0.35">
      <c r="A55" s="212">
        <v>3</v>
      </c>
      <c r="B55" s="203" t="s">
        <v>50</v>
      </c>
      <c r="C55" s="153">
        <f>VLOOKUP(B55,BLS!$B$7:$I$64,8,FALSE)</f>
        <v>1.0325236320495605</v>
      </c>
      <c r="D55" s="277">
        <f>C55*'AVG RAS salary'!$F$66</f>
        <v>74848.837514216619</v>
      </c>
      <c r="E55" s="213">
        <f>VLOOKUP(B55,'WF Need'!B56:F114,5,FALSE)</f>
        <v>256</v>
      </c>
      <c r="F55" s="216" t="str">
        <f t="shared" si="0"/>
        <v/>
      </c>
      <c r="G55" s="216" t="str">
        <f t="shared" si="1"/>
        <v/>
      </c>
      <c r="H55" s="286">
        <f t="shared" si="2"/>
        <v>74848.837514216619</v>
      </c>
      <c r="K55" s="204" t="str">
        <f t="shared" si="3"/>
        <v/>
      </c>
    </row>
    <row r="56" spans="1:11" x14ac:dyDescent="0.35">
      <c r="A56" s="212">
        <v>2</v>
      </c>
      <c r="B56" s="203" t="s">
        <v>36</v>
      </c>
      <c r="C56" s="153">
        <f>VLOOKUP(B56,BLS!$B$7:$I$64,8,FALSE)</f>
        <v>0.94405943155288696</v>
      </c>
      <c r="D56" s="277">
        <f>C56*'AVG RAS salary'!$F$66</f>
        <v>68435.964856128368</v>
      </c>
      <c r="E56" s="213">
        <f>VLOOKUP(B56,'WF Need'!B57:F115,5,FALSE)</f>
        <v>66</v>
      </c>
      <c r="F56" s="216" t="str">
        <f t="shared" si="0"/>
        <v/>
      </c>
      <c r="G56" s="216" t="str">
        <f t="shared" si="1"/>
        <v/>
      </c>
      <c r="H56" s="286">
        <f t="shared" si="2"/>
        <v>68435.964856128368</v>
      </c>
      <c r="K56" s="204" t="str">
        <f t="shared" si="3"/>
        <v/>
      </c>
    </row>
    <row r="57" spans="1:11" x14ac:dyDescent="0.35">
      <c r="A57" s="212">
        <v>2</v>
      </c>
      <c r="B57" s="203" t="s">
        <v>37</v>
      </c>
      <c r="C57" s="153">
        <f>VLOOKUP(B57,BLS!$B$7:$I$64,8,FALSE)</f>
        <v>0.74592924118041992</v>
      </c>
      <c r="D57" s="277">
        <f>C57*'AVG RAS salary'!$F$66</f>
        <v>54073.277198885698</v>
      </c>
      <c r="E57" s="213">
        <f>VLOOKUP(B57,'WF Need'!B58:F116,5,FALSE)</f>
        <v>54</v>
      </c>
      <c r="F57" s="216" t="str">
        <f t="shared" si="0"/>
        <v/>
      </c>
      <c r="G57" s="216" t="str">
        <f t="shared" si="1"/>
        <v/>
      </c>
      <c r="H57" s="286">
        <f t="shared" si="2"/>
        <v>54073.277198885698</v>
      </c>
      <c r="K57" s="204" t="str">
        <f t="shared" si="3"/>
        <v/>
      </c>
    </row>
    <row r="58" spans="1:11" x14ac:dyDescent="0.35">
      <c r="A58" s="212">
        <v>1</v>
      </c>
      <c r="B58" s="203" t="s">
        <v>18</v>
      </c>
      <c r="C58" s="153">
        <f>VLOOKUP(B58,BLS!$B$7:$I$64,8,FALSE)</f>
        <v>0.69821012020111084</v>
      </c>
      <c r="D58" s="277">
        <f>C58*'AVG RAS salary'!$F$66</f>
        <v>50614.062686369718</v>
      </c>
      <c r="E58" s="213">
        <f>VLOOKUP(B58,'WF Need'!B59:F117,5,FALSE)</f>
        <v>16</v>
      </c>
      <c r="F58" s="216" t="str">
        <f t="shared" si="0"/>
        <v>Yes</v>
      </c>
      <c r="G58" s="216" t="str">
        <f t="shared" si="1"/>
        <v>Yes</v>
      </c>
      <c r="H58" s="286">
        <f t="shared" si="2"/>
        <v>55369.934978419391</v>
      </c>
      <c r="K58" s="204">
        <f t="shared" si="3"/>
        <v>50614.062686369718</v>
      </c>
    </row>
    <row r="59" spans="1:11" x14ac:dyDescent="0.35">
      <c r="A59" s="212">
        <v>3</v>
      </c>
      <c r="B59" s="203" t="s">
        <v>51</v>
      </c>
      <c r="C59" s="153">
        <f>VLOOKUP(B59,BLS!$B$7:$I$64,8,FALSE)</f>
        <v>0.95324259996414185</v>
      </c>
      <c r="D59" s="277">
        <f>C59*'AVG RAS salary'!$F$66</f>
        <v>69101.663401851052</v>
      </c>
      <c r="E59" s="213">
        <f>VLOOKUP(B59,'WF Need'!B60:F118,5,FALSE)</f>
        <v>263</v>
      </c>
      <c r="F59" s="216" t="str">
        <f t="shared" si="0"/>
        <v/>
      </c>
      <c r="G59" s="216" t="str">
        <f t="shared" si="1"/>
        <v/>
      </c>
      <c r="H59" s="286">
        <f t="shared" si="2"/>
        <v>69101.663401851052</v>
      </c>
      <c r="K59" s="204" t="str">
        <f t="shared" si="3"/>
        <v/>
      </c>
    </row>
    <row r="60" spans="1:11" x14ac:dyDescent="0.35">
      <c r="A60" s="212">
        <v>2</v>
      </c>
      <c r="B60" s="203" t="s">
        <v>38</v>
      </c>
      <c r="C60" s="153">
        <f>VLOOKUP(B60,BLS!$B$7:$I$64,8,FALSE)</f>
        <v>0.811695396900177</v>
      </c>
      <c r="D60" s="277">
        <f>C60*'AVG RAS salary'!$F$66</f>
        <v>58840.742224002417</v>
      </c>
      <c r="E60" s="213">
        <f>VLOOKUP(B60,'WF Need'!B61:F119,5,FALSE)</f>
        <v>41</v>
      </c>
      <c r="F60" s="216" t="str">
        <f t="shared" si="0"/>
        <v>Yes</v>
      </c>
      <c r="G60" s="216" t="str">
        <f t="shared" si="1"/>
        <v/>
      </c>
      <c r="H60" s="286">
        <f t="shared" si="2"/>
        <v>58840.742224002417</v>
      </c>
      <c r="K60" s="204">
        <f t="shared" si="3"/>
        <v>58840.742224002417</v>
      </c>
    </row>
    <row r="61" spans="1:11" x14ac:dyDescent="0.35">
      <c r="A61" s="212">
        <v>3</v>
      </c>
      <c r="B61" s="203" t="s">
        <v>52</v>
      </c>
      <c r="C61" s="153">
        <f>VLOOKUP(B61,BLS!$B$7:$I$64,8,FALSE)</f>
        <v>1.2574151754379272</v>
      </c>
      <c r="D61" s="277">
        <f>C61*'AVG RAS salary'!$F$66</f>
        <v>91151.48673880045</v>
      </c>
      <c r="E61" s="213">
        <f>VLOOKUP(B61,'WF Need'!B62:F120,5,FALSE)</f>
        <v>307</v>
      </c>
      <c r="F61" s="216" t="str">
        <f t="shared" si="0"/>
        <v/>
      </c>
      <c r="G61" s="216" t="str">
        <f t="shared" si="1"/>
        <v/>
      </c>
      <c r="H61" s="286">
        <f t="shared" si="2"/>
        <v>91151.48673880045</v>
      </c>
      <c r="K61" s="204" t="str">
        <f t="shared" si="3"/>
        <v/>
      </c>
    </row>
    <row r="62" spans="1:11" x14ac:dyDescent="0.35">
      <c r="A62" s="212">
        <v>2</v>
      </c>
      <c r="B62" s="203" t="s">
        <v>39</v>
      </c>
      <c r="C62" s="153">
        <f>VLOOKUP(B62,BLS!$B$7:$I$64,8,FALSE)</f>
        <v>1.117091178894043</v>
      </c>
      <c r="D62" s="277">
        <f>C62*'AVG RAS salary'!$F$66</f>
        <v>80979.237222525422</v>
      </c>
      <c r="E62" s="213">
        <f>VLOOKUP(B62,'WF Need'!B63:F121,5,FALSE)</f>
        <v>104</v>
      </c>
      <c r="F62" s="216" t="str">
        <f t="shared" si="0"/>
        <v/>
      </c>
      <c r="G62" s="216" t="str">
        <f t="shared" si="1"/>
        <v/>
      </c>
      <c r="H62" s="286">
        <f t="shared" si="2"/>
        <v>80979.237222525422</v>
      </c>
      <c r="K62" s="204" t="str">
        <f t="shared" si="3"/>
        <v/>
      </c>
    </row>
    <row r="63" spans="1:11" x14ac:dyDescent="0.35">
      <c r="A63" s="212">
        <v>2</v>
      </c>
      <c r="B63" s="203" t="s">
        <v>40</v>
      </c>
      <c r="C63" s="153">
        <f>VLOOKUP(B63,BLS!$B$7:$I$64,8,FALSE)</f>
        <v>0.96451348066329956</v>
      </c>
      <c r="D63" s="277">
        <f>C63*'AVG RAS salary'!$F$66</f>
        <v>69918.702636506452</v>
      </c>
      <c r="E63" s="213">
        <f>VLOOKUP(B63,'WF Need'!B64:F122,5,FALSE)</f>
        <v>53</v>
      </c>
      <c r="F63" s="216" t="str">
        <f t="shared" si="0"/>
        <v/>
      </c>
      <c r="G63" s="216" t="str">
        <f t="shared" si="1"/>
        <v/>
      </c>
      <c r="H63" s="286">
        <f t="shared" si="2"/>
        <v>69918.702636506452</v>
      </c>
      <c r="K63" s="204" t="str">
        <f>IF(F63="Yes",D63,"")</f>
        <v/>
      </c>
    </row>
    <row r="64" spans="1:11" x14ac:dyDescent="0.35">
      <c r="C64" s="205"/>
      <c r="D64" s="256"/>
      <c r="E64" s="110"/>
      <c r="K64" s="207">
        <f>MEDIAN(K6:K63)</f>
        <v>55369.934978419391</v>
      </c>
    </row>
    <row r="65" spans="1:11" x14ac:dyDescent="0.35">
      <c r="B65" s="210"/>
      <c r="C65" s="234"/>
      <c r="E65" s="206"/>
      <c r="K65" s="207"/>
    </row>
    <row r="66" spans="1:11" ht="19" customHeight="1" x14ac:dyDescent="0.35">
      <c r="A66" s="208"/>
      <c r="D66" s="223" t="s">
        <v>77</v>
      </c>
      <c r="G66" s="219" t="s">
        <v>243</v>
      </c>
      <c r="H66" s="226">
        <f>K64</f>
        <v>55369.934978419391</v>
      </c>
    </row>
    <row r="67" spans="1:11" x14ac:dyDescent="0.35">
      <c r="B67" s="209"/>
      <c r="C67" s="105"/>
      <c r="D67" s="154">
        <f>K64</f>
        <v>55369.934978419391</v>
      </c>
    </row>
  </sheetData>
  <sortState xmlns:xlrd2="http://schemas.microsoft.com/office/spreadsheetml/2017/richdata2" ref="A5:K62">
    <sortCondition ref="B5:B62"/>
  </sortState>
  <mergeCells count="2">
    <mergeCell ref="A4:A5"/>
    <mergeCell ref="B4:B5"/>
  </mergeCells>
  <conditionalFormatting sqref="F4:H4">
    <cfRule type="cellIs" dxfId="1" priority="1" operator="equal">
      <formula>"No"</formula>
    </cfRule>
  </conditionalFormatting>
  <printOptions horizontalCentered="1"/>
  <pageMargins left="0.25" right="0.25" top="0.5" bottom="0.2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CCD0-69EA-400D-83FE-539BC9680C01}">
  <sheetPr>
    <tabColor rgb="FF92D050"/>
    <pageSetUpPr fitToPage="1"/>
  </sheetPr>
  <dimension ref="A1:G69"/>
  <sheetViews>
    <sheetView zoomScaleNormal="100" workbookViewId="0">
      <pane xSplit="1" ySplit="6" topLeftCell="B7" activePane="bottomRight" state="frozen"/>
      <selection pane="topRight" activeCell="B1" sqref="B1"/>
      <selection pane="bottomLeft" activeCell="A7" sqref="A7"/>
      <selection pane="bottomRight" activeCell="L9" sqref="L9"/>
    </sheetView>
  </sheetViews>
  <sheetFormatPr defaultColWidth="9.1796875" defaultRowHeight="14.5" x14ac:dyDescent="0.35"/>
  <cols>
    <col min="1" max="1" width="16.1796875" style="52" customWidth="1"/>
    <col min="2" max="2" width="15.81640625" style="52" bestFit="1" customWidth="1"/>
    <col min="3" max="3" width="15.54296875" style="52" bestFit="1" customWidth="1"/>
    <col min="4" max="4" width="16.453125" style="52" customWidth="1"/>
    <col min="5" max="5" width="16.6328125" style="52" bestFit="1" customWidth="1"/>
    <col min="6" max="6" width="15.453125" style="52" customWidth="1"/>
    <col min="7" max="7" width="19.1796875" style="52" customWidth="1"/>
    <col min="8" max="16384" width="9.1796875" style="52"/>
  </cols>
  <sheetData>
    <row r="1" spans="1:7" ht="18.5" x14ac:dyDescent="0.35">
      <c r="A1" s="161" t="s">
        <v>123</v>
      </c>
    </row>
    <row r="2" spans="1:7" x14ac:dyDescent="0.35">
      <c r="A2" s="48" t="s">
        <v>238</v>
      </c>
    </row>
    <row r="4" spans="1:7" x14ac:dyDescent="0.35">
      <c r="B4" s="313" t="s">
        <v>241</v>
      </c>
      <c r="C4" s="314"/>
    </row>
    <row r="5" spans="1:7" ht="43.5" x14ac:dyDescent="0.35">
      <c r="A5" s="315" t="s">
        <v>63</v>
      </c>
      <c r="B5" s="197" t="s">
        <v>183</v>
      </c>
      <c r="C5" s="197" t="s">
        <v>182</v>
      </c>
      <c r="D5" s="41" t="s">
        <v>196</v>
      </c>
      <c r="E5" s="198" t="s">
        <v>197</v>
      </c>
      <c r="F5" s="41" t="s">
        <v>198</v>
      </c>
      <c r="G5" s="41" t="s">
        <v>199</v>
      </c>
    </row>
    <row r="6" spans="1:7" x14ac:dyDescent="0.35">
      <c r="A6" s="316"/>
      <c r="B6" s="77" t="s">
        <v>65</v>
      </c>
      <c r="C6" s="77" t="s">
        <v>1</v>
      </c>
      <c r="D6" s="77" t="s">
        <v>66</v>
      </c>
      <c r="E6" s="77" t="s">
        <v>2</v>
      </c>
      <c r="F6" s="77" t="s">
        <v>3</v>
      </c>
      <c r="G6" s="77" t="s">
        <v>83</v>
      </c>
    </row>
    <row r="7" spans="1:7" x14ac:dyDescent="0.35">
      <c r="A7" s="155" t="s">
        <v>53</v>
      </c>
      <c r="B7" s="156">
        <v>472.91</v>
      </c>
      <c r="C7" s="285">
        <v>43262029.185065024</v>
      </c>
      <c r="D7" s="285">
        <v>13699561.099011164</v>
      </c>
      <c r="E7" s="69">
        <v>8977489.2659253143</v>
      </c>
      <c r="F7" s="157">
        <v>0.31666478334632869</v>
      </c>
      <c r="G7" s="69">
        <v>18983.504823169977</v>
      </c>
    </row>
    <row r="8" spans="1:7" x14ac:dyDescent="0.35">
      <c r="A8" s="155" t="s">
        <v>4</v>
      </c>
      <c r="B8" s="156">
        <v>3.3</v>
      </c>
      <c r="C8" s="70">
        <v>201764.99</v>
      </c>
      <c r="D8" s="70">
        <v>105502.913271</v>
      </c>
      <c r="E8" s="70">
        <v>75241.097999999998</v>
      </c>
      <c r="F8" s="157">
        <v>0.52290000000000003</v>
      </c>
      <c r="G8" s="70">
        <v>22800.332727272729</v>
      </c>
    </row>
    <row r="9" spans="1:7" x14ac:dyDescent="0.35">
      <c r="A9" s="155" t="s">
        <v>5</v>
      </c>
      <c r="B9" s="156">
        <v>23.75</v>
      </c>
      <c r="C9" s="70">
        <v>1571747.4199999997</v>
      </c>
      <c r="D9" s="70">
        <v>579817.62323800009</v>
      </c>
      <c r="E9" s="70">
        <v>268759.87999999995</v>
      </c>
      <c r="F9" s="157">
        <v>0.36890000000000012</v>
      </c>
      <c r="G9" s="70">
        <v>11316.205473684207</v>
      </c>
    </row>
    <row r="10" spans="1:7" x14ac:dyDescent="0.35">
      <c r="A10" s="155" t="s">
        <v>19</v>
      </c>
      <c r="B10" s="156">
        <v>73.929999999999978</v>
      </c>
      <c r="C10" s="70">
        <v>4535332.1599999992</v>
      </c>
      <c r="D10" s="70">
        <v>1493478.7639923983</v>
      </c>
      <c r="E10" s="70">
        <v>1079084.3675080002</v>
      </c>
      <c r="F10" s="157">
        <v>0.32929865141176307</v>
      </c>
      <c r="G10" s="70">
        <v>14596.028236277567</v>
      </c>
    </row>
    <row r="11" spans="1:7" x14ac:dyDescent="0.35">
      <c r="A11" s="155" t="s">
        <v>6</v>
      </c>
      <c r="B11" s="156">
        <v>16.649999999999999</v>
      </c>
      <c r="C11" s="70">
        <v>1127975.318</v>
      </c>
      <c r="D11" s="70">
        <v>290512.78445106</v>
      </c>
      <c r="E11" s="70">
        <v>285647.01250000001</v>
      </c>
      <c r="F11" s="157">
        <v>0.25755243028381586</v>
      </c>
      <c r="G11" s="70">
        <v>17155.976726726731</v>
      </c>
    </row>
    <row r="12" spans="1:7" x14ac:dyDescent="0.35">
      <c r="A12" s="155" t="s">
        <v>7</v>
      </c>
      <c r="B12" s="156">
        <v>10.899999999999995</v>
      </c>
      <c r="C12" s="70">
        <v>512831.99999999983</v>
      </c>
      <c r="D12" s="70">
        <v>297083.57760000014</v>
      </c>
      <c r="E12" s="70">
        <v>246865.65400000018</v>
      </c>
      <c r="F12" s="157">
        <v>0.57930000000000048</v>
      </c>
      <c r="G12" s="70">
        <v>22648.225137614707</v>
      </c>
    </row>
    <row r="13" spans="1:7" x14ac:dyDescent="0.35">
      <c r="A13" s="155" t="s">
        <v>41</v>
      </c>
      <c r="B13" s="156">
        <v>237.495</v>
      </c>
      <c r="C13" s="70">
        <v>20709817.861300033</v>
      </c>
      <c r="D13" s="70">
        <v>7048645.0009724032</v>
      </c>
      <c r="E13" s="70">
        <v>6593622.5174668133</v>
      </c>
      <c r="F13" s="157">
        <v>0.34035282435506331</v>
      </c>
      <c r="G13" s="70">
        <v>27763.205614715313</v>
      </c>
    </row>
    <row r="14" spans="1:7" x14ac:dyDescent="0.35">
      <c r="A14" s="155" t="s">
        <v>8</v>
      </c>
      <c r="B14" s="156">
        <v>18</v>
      </c>
      <c r="C14" s="70">
        <v>1057294.3230435424</v>
      </c>
      <c r="D14" s="70">
        <v>345946.70249984704</v>
      </c>
      <c r="E14" s="70">
        <v>493250.11999999988</v>
      </c>
      <c r="F14" s="157">
        <v>0.32719999999999994</v>
      </c>
      <c r="G14" s="70">
        <v>27402.784444444438</v>
      </c>
    </row>
    <row r="15" spans="1:7" x14ac:dyDescent="0.35">
      <c r="A15" s="155" t="s">
        <v>20</v>
      </c>
      <c r="B15" s="156">
        <v>65.959999999999994</v>
      </c>
      <c r="C15" s="70">
        <v>4223483.0660571437</v>
      </c>
      <c r="D15" s="70">
        <v>1259876.6119311387</v>
      </c>
      <c r="E15" s="70">
        <v>1504193.6746302857</v>
      </c>
      <c r="F15" s="157">
        <v>0.29830274970352932</v>
      </c>
      <c r="G15" s="70">
        <v>22804.634242423981</v>
      </c>
    </row>
    <row r="16" spans="1:7" x14ac:dyDescent="0.35">
      <c r="A16" s="155" t="s">
        <v>42</v>
      </c>
      <c r="B16" s="156">
        <v>418.4</v>
      </c>
      <c r="C16" s="70">
        <v>28789002.849999998</v>
      </c>
      <c r="D16" s="70">
        <v>17922509.313425031</v>
      </c>
      <c r="E16" s="70">
        <v>6385916.6960000554</v>
      </c>
      <c r="F16" s="157">
        <v>0.62254706794837922</v>
      </c>
      <c r="G16" s="70">
        <v>15262.707208413136</v>
      </c>
    </row>
    <row r="17" spans="1:7" x14ac:dyDescent="0.35">
      <c r="A17" s="155" t="s">
        <v>9</v>
      </c>
      <c r="B17" s="156">
        <v>12.800000000000002</v>
      </c>
      <c r="C17" s="70">
        <v>703974.94999999972</v>
      </c>
      <c r="D17" s="70">
        <v>119415.31919999997</v>
      </c>
      <c r="E17" s="70">
        <v>516755.52999999985</v>
      </c>
      <c r="F17" s="157">
        <v>0.16963006879719231</v>
      </c>
      <c r="G17" s="70">
        <v>40371.525781249984</v>
      </c>
    </row>
    <row r="18" spans="1:7" x14ac:dyDescent="0.35">
      <c r="A18" s="155" t="s">
        <v>21</v>
      </c>
      <c r="B18" s="156">
        <v>55.499999999999993</v>
      </c>
      <c r="C18" s="70">
        <v>3391948.75210125</v>
      </c>
      <c r="D18" s="70">
        <v>1230468.7273182429</v>
      </c>
      <c r="E18" s="70">
        <v>874331.98499999905</v>
      </c>
      <c r="F18" s="157">
        <v>0.36276159141732023</v>
      </c>
      <c r="G18" s="70">
        <v>15753.729459459444</v>
      </c>
    </row>
    <row r="19" spans="1:7" x14ac:dyDescent="0.35">
      <c r="A19" s="155" t="s">
        <v>22</v>
      </c>
      <c r="B19" s="156">
        <v>77.45</v>
      </c>
      <c r="C19" s="70">
        <v>4155064.4542851234</v>
      </c>
      <c r="D19" s="70">
        <v>1114720.9205351472</v>
      </c>
      <c r="E19" s="70">
        <v>510997.70367257105</v>
      </c>
      <c r="F19" s="157">
        <v>0.26828005505077884</v>
      </c>
      <c r="G19" s="70">
        <v>6597.775386346947</v>
      </c>
    </row>
    <row r="20" spans="1:7" x14ac:dyDescent="0.35">
      <c r="A20" s="155" t="s">
        <v>10</v>
      </c>
      <c r="B20" s="156">
        <v>8.5400000000000009</v>
      </c>
      <c r="C20" s="70">
        <v>641345.30159999977</v>
      </c>
      <c r="D20" s="70">
        <v>115121.48163719998</v>
      </c>
      <c r="E20" s="70">
        <v>143875.43103199999</v>
      </c>
      <c r="F20" s="157">
        <v>0.17950000000000002</v>
      </c>
      <c r="G20" s="70">
        <v>16847.240167681495</v>
      </c>
    </row>
    <row r="21" spans="1:7" x14ac:dyDescent="0.35">
      <c r="A21" s="155" t="s">
        <v>43</v>
      </c>
      <c r="B21" s="156">
        <v>379</v>
      </c>
      <c r="C21" s="70">
        <v>25234500.119747911</v>
      </c>
      <c r="D21" s="70">
        <v>12360284.282616317</v>
      </c>
      <c r="E21" s="70">
        <v>6738685.9329175735</v>
      </c>
      <c r="F21" s="157">
        <v>0.48981688656251438</v>
      </c>
      <c r="G21" s="70">
        <v>17780.173965481725</v>
      </c>
    </row>
    <row r="22" spans="1:7" x14ac:dyDescent="0.35">
      <c r="A22" s="155" t="s">
        <v>23</v>
      </c>
      <c r="B22" s="156">
        <v>74</v>
      </c>
      <c r="C22" s="70">
        <v>4608588.5999999996</v>
      </c>
      <c r="D22" s="70">
        <v>1276428.1831115996</v>
      </c>
      <c r="E22" s="70">
        <v>689245.02800000005</v>
      </c>
      <c r="F22" s="157">
        <v>0.27696726566385199</v>
      </c>
      <c r="G22" s="70">
        <v>9314.1220000000012</v>
      </c>
    </row>
    <row r="23" spans="1:7" x14ac:dyDescent="0.35">
      <c r="A23" s="155" t="s">
        <v>24</v>
      </c>
      <c r="B23" s="156">
        <v>28.099999999999998</v>
      </c>
      <c r="C23" s="70">
        <v>1747638.7430000002</v>
      </c>
      <c r="D23" s="70">
        <v>533728.87211220025</v>
      </c>
      <c r="E23" s="70">
        <v>411674.27299999999</v>
      </c>
      <c r="F23" s="157">
        <v>0.30540000000000012</v>
      </c>
      <c r="G23" s="70">
        <v>14650.33</v>
      </c>
    </row>
    <row r="24" spans="1:7" x14ac:dyDescent="0.35">
      <c r="A24" s="155" t="s">
        <v>11</v>
      </c>
      <c r="B24" s="156">
        <v>17.05</v>
      </c>
      <c r="C24" s="70">
        <v>921783.70900000003</v>
      </c>
      <c r="D24" s="70">
        <v>141789.32453124999</v>
      </c>
      <c r="E24" s="70">
        <v>172081.34908999992</v>
      </c>
      <c r="F24" s="157">
        <v>0.15382060145657228</v>
      </c>
      <c r="G24" s="70">
        <v>10092.747747214071</v>
      </c>
    </row>
    <row r="25" spans="1:7" x14ac:dyDescent="0.35">
      <c r="A25" s="155" t="s">
        <v>54</v>
      </c>
      <c r="B25" s="156">
        <v>3148</v>
      </c>
      <c r="C25" s="70">
        <v>253374955.27652788</v>
      </c>
      <c r="D25" s="70">
        <v>78025753.821807265</v>
      </c>
      <c r="E25" s="70">
        <v>93810430.709759429</v>
      </c>
      <c r="F25" s="157">
        <v>0.30794580204918698</v>
      </c>
      <c r="G25" s="70">
        <v>29800.009755323834</v>
      </c>
    </row>
    <row r="26" spans="1:7" x14ac:dyDescent="0.35">
      <c r="A26" s="155" t="s">
        <v>25</v>
      </c>
      <c r="B26" s="156">
        <v>78.659999999999982</v>
      </c>
      <c r="C26" s="70">
        <v>5274844.5400000019</v>
      </c>
      <c r="D26" s="70">
        <v>2166177.7903215005</v>
      </c>
      <c r="E26" s="70">
        <v>941892.93171099969</v>
      </c>
      <c r="F26" s="157">
        <v>0.41066192072487123</v>
      </c>
      <c r="G26" s="70">
        <v>11974.229998868546</v>
      </c>
    </row>
    <row r="27" spans="1:7" x14ac:dyDescent="0.35">
      <c r="A27" s="155" t="s">
        <v>26</v>
      </c>
      <c r="B27" s="156">
        <v>76.526666666666685</v>
      </c>
      <c r="C27" s="70">
        <v>5947372.4818464164</v>
      </c>
      <c r="D27" s="70">
        <v>1320165.346322129</v>
      </c>
      <c r="E27" s="70">
        <v>1366363.7363999994</v>
      </c>
      <c r="F27" s="157">
        <v>0.22197455268721819</v>
      </c>
      <c r="G27" s="70">
        <v>17854.739999999987</v>
      </c>
    </row>
    <row r="28" spans="1:7" x14ac:dyDescent="0.35">
      <c r="A28" s="155" t="s">
        <v>12</v>
      </c>
      <c r="B28" s="156">
        <v>8.1</v>
      </c>
      <c r="C28" s="70">
        <v>478039.19299999997</v>
      </c>
      <c r="D28" s="70">
        <v>84895.536982899968</v>
      </c>
      <c r="E28" s="70">
        <v>112590.67118000002</v>
      </c>
      <c r="F28" s="157">
        <v>0.17759116454474472</v>
      </c>
      <c r="G28" s="70">
        <v>13900.082861728399</v>
      </c>
    </row>
    <row r="29" spans="1:7" x14ac:dyDescent="0.35">
      <c r="A29" s="155" t="s">
        <v>27</v>
      </c>
      <c r="B29" s="156">
        <v>43.199999999999996</v>
      </c>
      <c r="C29" s="70">
        <v>2991556.9600000004</v>
      </c>
      <c r="D29" s="70">
        <v>1331910.7550591994</v>
      </c>
      <c r="E29" s="70">
        <v>674619.9</v>
      </c>
      <c r="F29" s="157">
        <v>0.44522326429619419</v>
      </c>
      <c r="G29" s="70">
        <v>15616.201388888891</v>
      </c>
    </row>
    <row r="30" spans="1:7" x14ac:dyDescent="0.35">
      <c r="A30" s="155" t="s">
        <v>28</v>
      </c>
      <c r="B30" s="156">
        <v>97.25</v>
      </c>
      <c r="C30" s="70">
        <v>5990271.8100000024</v>
      </c>
      <c r="D30" s="70">
        <v>2922159.8672550009</v>
      </c>
      <c r="E30" s="70">
        <v>1442682.5476250013</v>
      </c>
      <c r="F30" s="157">
        <v>0.48781757488480304</v>
      </c>
      <c r="G30" s="70">
        <v>14834.781980719808</v>
      </c>
    </row>
    <row r="31" spans="1:7" x14ac:dyDescent="0.35">
      <c r="A31" s="155" t="s">
        <v>13</v>
      </c>
      <c r="B31" s="156">
        <v>7</v>
      </c>
      <c r="C31" s="70">
        <v>421456.41</v>
      </c>
      <c r="D31" s="70">
        <v>146192.03349600002</v>
      </c>
      <c r="E31" s="70">
        <v>138330.17871399998</v>
      </c>
      <c r="F31" s="157">
        <v>0.34687343703231382</v>
      </c>
      <c r="G31" s="70">
        <v>19761.454101999996</v>
      </c>
    </row>
    <row r="32" spans="1:7" x14ac:dyDescent="0.35">
      <c r="A32" s="155" t="s">
        <v>14</v>
      </c>
      <c r="B32" s="156">
        <v>7.4307500000000006</v>
      </c>
      <c r="C32" s="70">
        <v>470010.20905769232</v>
      </c>
      <c r="D32" s="70">
        <v>159494.09207339422</v>
      </c>
      <c r="E32" s="70">
        <v>135908.80045251921</v>
      </c>
      <c r="F32" s="157">
        <v>0.33934176109314429</v>
      </c>
      <c r="G32" s="70">
        <v>18290.051536186682</v>
      </c>
    </row>
    <row r="33" spans="1:7" x14ac:dyDescent="0.35">
      <c r="A33" s="155" t="s">
        <v>44</v>
      </c>
      <c r="B33" s="156">
        <v>136.79999999999998</v>
      </c>
      <c r="C33" s="70">
        <v>9672402.3640000056</v>
      </c>
      <c r="D33" s="70">
        <v>1541389.9708308</v>
      </c>
      <c r="E33" s="70">
        <v>3766270.1871348056</v>
      </c>
      <c r="F33" s="157">
        <v>0.1593595792259164</v>
      </c>
      <c r="G33" s="70">
        <v>27531.214818236887</v>
      </c>
    </row>
    <row r="34" spans="1:7" x14ac:dyDescent="0.35">
      <c r="A34" s="155" t="s">
        <v>29</v>
      </c>
      <c r="B34" s="156">
        <v>47.199999999999996</v>
      </c>
      <c r="C34" s="70">
        <v>3622437.5840000003</v>
      </c>
      <c r="D34" s="70">
        <v>991368.58830559999</v>
      </c>
      <c r="E34" s="70">
        <v>1011152.9999000001</v>
      </c>
      <c r="F34" s="157">
        <v>0.27367444305580058</v>
      </c>
      <c r="G34" s="70">
        <v>21422.733048728816</v>
      </c>
    </row>
    <row r="35" spans="1:7" x14ac:dyDescent="0.35">
      <c r="A35" s="155" t="s">
        <v>30</v>
      </c>
      <c r="B35" s="156">
        <v>37.379999999999981</v>
      </c>
      <c r="C35" s="70">
        <v>2424503.4036950553</v>
      </c>
      <c r="D35" s="70">
        <v>1173840.6050276931</v>
      </c>
      <c r="E35" s="70">
        <v>634623.00755668466</v>
      </c>
      <c r="F35" s="157">
        <v>0.48415712811073219</v>
      </c>
      <c r="G35" s="70">
        <v>16977.608548867978</v>
      </c>
    </row>
    <row r="36" spans="1:7" x14ac:dyDescent="0.35">
      <c r="A36" s="155" t="s">
        <v>55</v>
      </c>
      <c r="B36" s="156">
        <v>1061.9575000000007</v>
      </c>
      <c r="C36" s="70">
        <v>86232859.067368075</v>
      </c>
      <c r="D36" s="70">
        <v>38708093.160019778</v>
      </c>
      <c r="E36" s="70">
        <v>13468240.998103222</v>
      </c>
      <c r="F36" s="157">
        <v>0.44887869402288616</v>
      </c>
      <c r="G36" s="70">
        <v>12682.467046094795</v>
      </c>
    </row>
    <row r="37" spans="1:7" x14ac:dyDescent="0.35">
      <c r="A37" s="155" t="s">
        <v>31</v>
      </c>
      <c r="B37" s="156">
        <v>125.3</v>
      </c>
      <c r="C37" s="70">
        <v>10118965.9</v>
      </c>
      <c r="D37" s="70">
        <v>3950143.4103789194</v>
      </c>
      <c r="E37" s="70">
        <v>3234931.3015701007</v>
      </c>
      <c r="F37" s="157">
        <v>0.39037026603468633</v>
      </c>
      <c r="G37" s="70">
        <v>25817.488440304078</v>
      </c>
    </row>
    <row r="38" spans="1:7" x14ac:dyDescent="0.35">
      <c r="A38" s="155" t="s">
        <v>15</v>
      </c>
      <c r="B38" s="156">
        <v>6.1999999999999993</v>
      </c>
      <c r="C38" s="70">
        <v>362136.16999999993</v>
      </c>
      <c r="D38" s="70">
        <v>100311.71909</v>
      </c>
      <c r="E38" s="70">
        <v>104260.2</v>
      </c>
      <c r="F38" s="157">
        <v>0.27700000000000008</v>
      </c>
      <c r="G38" s="70">
        <v>16816.161290322583</v>
      </c>
    </row>
    <row r="39" spans="1:7" x14ac:dyDescent="0.35">
      <c r="A39" s="155" t="s">
        <v>56</v>
      </c>
      <c r="B39" s="156">
        <v>806.98</v>
      </c>
      <c r="C39" s="70">
        <v>66699029.193090163</v>
      </c>
      <c r="D39" s="70">
        <v>25173952.721715439</v>
      </c>
      <c r="E39" s="70">
        <v>14746669.467332028</v>
      </c>
      <c r="F39" s="157">
        <v>0.37742607390638588</v>
      </c>
      <c r="G39" s="70">
        <v>18273.897082123505</v>
      </c>
    </row>
    <row r="40" spans="1:7" x14ac:dyDescent="0.35">
      <c r="A40" s="155" t="s">
        <v>57</v>
      </c>
      <c r="B40" s="156">
        <v>487.76000000000005</v>
      </c>
      <c r="C40" s="70">
        <v>42396666.895805769</v>
      </c>
      <c r="D40" s="70">
        <v>18484207.160515584</v>
      </c>
      <c r="E40" s="70">
        <v>9700864.6047562528</v>
      </c>
      <c r="F40" s="157">
        <v>0.43598255508958877</v>
      </c>
      <c r="G40" s="70">
        <v>19888.602191151902</v>
      </c>
    </row>
    <row r="41" spans="1:7" x14ac:dyDescent="0.35">
      <c r="A41" s="155" t="s">
        <v>16</v>
      </c>
      <c r="B41" s="156">
        <v>20</v>
      </c>
      <c r="C41" s="70">
        <v>1361755.1999999997</v>
      </c>
      <c r="D41" s="70">
        <v>227413.11840000006</v>
      </c>
      <c r="E41" s="70">
        <v>245369.45311999996</v>
      </c>
      <c r="F41" s="157">
        <v>0.16700000000000009</v>
      </c>
      <c r="G41" s="70">
        <v>12268.472655999998</v>
      </c>
    </row>
    <row r="42" spans="1:7" x14ac:dyDescent="0.35">
      <c r="A42" s="155" t="s">
        <v>58</v>
      </c>
      <c r="B42" s="156">
        <v>821.37</v>
      </c>
      <c r="C42" s="70">
        <v>59628409.56799984</v>
      </c>
      <c r="D42" s="70">
        <v>19072966.460291963</v>
      </c>
      <c r="E42" s="70">
        <v>11705441.795210302</v>
      </c>
      <c r="F42" s="157">
        <v>0.31986374613163682</v>
      </c>
      <c r="G42" s="70">
        <v>14251.119221800531</v>
      </c>
    </row>
    <row r="43" spans="1:7" x14ac:dyDescent="0.35">
      <c r="A43" s="155" t="s">
        <v>59</v>
      </c>
      <c r="B43" s="156">
        <v>938.43639846743281</v>
      </c>
      <c r="C43" s="70">
        <v>72156282.733157799</v>
      </c>
      <c r="D43" s="70">
        <v>38069779.347132616</v>
      </c>
      <c r="E43" s="70">
        <v>18120120.730394252</v>
      </c>
      <c r="F43" s="157">
        <v>0.52760172649024928</v>
      </c>
      <c r="G43" s="70">
        <v>19308.842623737048</v>
      </c>
    </row>
    <row r="44" spans="1:7" x14ac:dyDescent="0.35">
      <c r="A44" s="155" t="s">
        <v>60</v>
      </c>
      <c r="B44" s="156">
        <v>304</v>
      </c>
      <c r="C44" s="70">
        <v>31766422.889999971</v>
      </c>
      <c r="D44" s="70">
        <v>8362516.9025083007</v>
      </c>
      <c r="E44" s="70">
        <v>8426925.560600996</v>
      </c>
      <c r="F44" s="157">
        <v>0.26325019129367599</v>
      </c>
      <c r="G44" s="70">
        <v>27720.149870398014</v>
      </c>
    </row>
    <row r="45" spans="1:7" x14ac:dyDescent="0.35">
      <c r="A45" s="155" t="s">
        <v>45</v>
      </c>
      <c r="B45" s="156">
        <v>296.46499999999997</v>
      </c>
      <c r="C45" s="70">
        <v>21557257.406649992</v>
      </c>
      <c r="D45" s="70">
        <v>10843567.257900458</v>
      </c>
      <c r="E45" s="70">
        <v>4619438.4824000029</v>
      </c>
      <c r="F45" s="157">
        <v>0.50301237552395828</v>
      </c>
      <c r="G45" s="70">
        <v>15581.733028856706</v>
      </c>
    </row>
    <row r="46" spans="1:7" x14ac:dyDescent="0.35">
      <c r="A46" s="155" t="s">
        <v>32</v>
      </c>
      <c r="B46" s="156">
        <v>108.35</v>
      </c>
      <c r="C46" s="70">
        <v>8447514.5</v>
      </c>
      <c r="D46" s="70">
        <v>3702690.918180001</v>
      </c>
      <c r="E46" s="70">
        <v>1404463.218879893</v>
      </c>
      <c r="F46" s="157">
        <v>0.43831720184440059</v>
      </c>
      <c r="G46" s="70">
        <v>12962.281669403719</v>
      </c>
    </row>
    <row r="47" spans="1:7" x14ac:dyDescent="0.35">
      <c r="A47" s="155" t="s">
        <v>46</v>
      </c>
      <c r="B47" s="156">
        <v>218</v>
      </c>
      <c r="C47" s="70">
        <v>18672975.302883249</v>
      </c>
      <c r="D47" s="70">
        <v>8036303.5698175272</v>
      </c>
      <c r="E47" s="70">
        <v>4017364.8765144171</v>
      </c>
      <c r="F47" s="157">
        <v>0.43037081340629529</v>
      </c>
      <c r="G47" s="70">
        <v>18428.279250066134</v>
      </c>
    </row>
    <row r="48" spans="1:7" x14ac:dyDescent="0.35">
      <c r="A48" s="155" t="s">
        <v>47</v>
      </c>
      <c r="B48" s="156">
        <v>168.53000000000003</v>
      </c>
      <c r="C48" s="70">
        <v>11814629.470029596</v>
      </c>
      <c r="D48" s="70">
        <v>5132685.9634404844</v>
      </c>
      <c r="E48" s="70">
        <v>1912932.7315780579</v>
      </c>
      <c r="F48" s="157">
        <v>0.43443478074878861</v>
      </c>
      <c r="G48" s="70">
        <v>11350.695612520367</v>
      </c>
    </row>
    <row r="49" spans="1:7" x14ac:dyDescent="0.35">
      <c r="A49" s="155" t="s">
        <v>61</v>
      </c>
      <c r="B49" s="156">
        <v>370.32000000000022</v>
      </c>
      <c r="C49" s="70">
        <v>36519491.951512322</v>
      </c>
      <c r="D49" s="70">
        <v>12766941.180002671</v>
      </c>
      <c r="E49" s="70">
        <v>8591590.509130612</v>
      </c>
      <c r="F49" s="157">
        <v>0.34959251889247528</v>
      </c>
      <c r="G49" s="70">
        <v>23200.449635803107</v>
      </c>
    </row>
    <row r="50" spans="1:7" x14ac:dyDescent="0.35">
      <c r="A50" s="155" t="s">
        <v>33</v>
      </c>
      <c r="B50" s="156">
        <v>97.161000000000001</v>
      </c>
      <c r="C50" s="70">
        <v>7450497.8457827047</v>
      </c>
      <c r="D50" s="70">
        <v>2704858.8846608102</v>
      </c>
      <c r="E50" s="70">
        <v>1812546.5123632862</v>
      </c>
      <c r="F50" s="157">
        <v>0.36304404627026021</v>
      </c>
      <c r="G50" s="70">
        <v>18655.082927957577</v>
      </c>
    </row>
    <row r="51" spans="1:7" x14ac:dyDescent="0.35">
      <c r="A51" s="155" t="s">
        <v>34</v>
      </c>
      <c r="B51" s="156">
        <v>113.44999999999999</v>
      </c>
      <c r="C51" s="70">
        <v>7105191.3899999987</v>
      </c>
      <c r="D51" s="70">
        <v>2193287.6157730008</v>
      </c>
      <c r="E51" s="70">
        <v>1290729.668500002</v>
      </c>
      <c r="F51" s="157">
        <v>0.30868804165639813</v>
      </c>
      <c r="G51" s="70">
        <v>11377.079493168816</v>
      </c>
    </row>
    <row r="52" spans="1:7" x14ac:dyDescent="0.35">
      <c r="A52" s="155" t="s">
        <v>17</v>
      </c>
      <c r="B52" s="156">
        <v>2.4199999999999995</v>
      </c>
      <c r="C52" s="70">
        <v>111323.94760000001</v>
      </c>
      <c r="D52" s="70">
        <v>35305.286368319998</v>
      </c>
      <c r="E52" s="70">
        <v>51803.760015119988</v>
      </c>
      <c r="F52" s="157">
        <v>0.3171400864724635</v>
      </c>
      <c r="G52" s="70">
        <v>21406.512402942149</v>
      </c>
    </row>
    <row r="53" spans="1:7" x14ac:dyDescent="0.35">
      <c r="A53" s="155" t="s">
        <v>35</v>
      </c>
      <c r="B53" s="156">
        <v>21.45</v>
      </c>
      <c r="C53" s="70">
        <v>1383209.4500000002</v>
      </c>
      <c r="D53" s="70">
        <v>638212.84023000009</v>
      </c>
      <c r="E53" s="70">
        <v>585678.25334299984</v>
      </c>
      <c r="F53" s="157">
        <v>0.46139999999999998</v>
      </c>
      <c r="G53" s="70">
        <v>27304.34747519813</v>
      </c>
    </row>
    <row r="54" spans="1:7" x14ac:dyDescent="0.35">
      <c r="A54" s="155" t="s">
        <v>48</v>
      </c>
      <c r="B54" s="156">
        <v>175</v>
      </c>
      <c r="C54" s="70">
        <v>13207443.009721359</v>
      </c>
      <c r="D54" s="70">
        <v>6731306.6670776205</v>
      </c>
      <c r="E54" s="70">
        <v>3270247.762000001</v>
      </c>
      <c r="F54" s="157">
        <v>0.50966009560844072</v>
      </c>
      <c r="G54" s="70">
        <v>18687.130068571434</v>
      </c>
    </row>
    <row r="55" spans="1:7" x14ac:dyDescent="0.35">
      <c r="A55" s="155" t="s">
        <v>49</v>
      </c>
      <c r="B55" s="156">
        <v>138</v>
      </c>
      <c r="C55" s="70">
        <v>10799714.488559997</v>
      </c>
      <c r="D55" s="70">
        <v>4253033.7556351256</v>
      </c>
      <c r="E55" s="70">
        <v>3118830.9204756538</v>
      </c>
      <c r="F55" s="157">
        <v>0.39380983267106839</v>
      </c>
      <c r="G55" s="70">
        <v>22600.224061417783</v>
      </c>
    </row>
    <row r="56" spans="1:7" x14ac:dyDescent="0.35">
      <c r="A56" s="155" t="s">
        <v>50</v>
      </c>
      <c r="B56" s="156">
        <v>199.75</v>
      </c>
      <c r="C56" s="70">
        <v>13614403.839999998</v>
      </c>
      <c r="D56" s="70">
        <v>4775874.8325320007</v>
      </c>
      <c r="E56" s="70">
        <v>3674355.7337100394</v>
      </c>
      <c r="F56" s="157">
        <v>0.35079573726909524</v>
      </c>
      <c r="G56" s="70">
        <v>18394.772133717343</v>
      </c>
    </row>
    <row r="57" spans="1:7" x14ac:dyDescent="0.35">
      <c r="A57" s="155" t="s">
        <v>36</v>
      </c>
      <c r="B57" s="156">
        <v>37.299999999999997</v>
      </c>
      <c r="C57" s="70">
        <v>2170676.860499999</v>
      </c>
      <c r="D57" s="70">
        <v>885462.37910014996</v>
      </c>
      <c r="E57" s="70">
        <v>886693.56699999981</v>
      </c>
      <c r="F57" s="157">
        <v>0.40791994202959825</v>
      </c>
      <c r="G57" s="70">
        <v>23771.945495978547</v>
      </c>
    </row>
    <row r="58" spans="1:7" x14ac:dyDescent="0.35">
      <c r="A58" s="155" t="s">
        <v>37</v>
      </c>
      <c r="B58" s="156">
        <v>33.9</v>
      </c>
      <c r="C58" s="70">
        <v>2004101.71</v>
      </c>
      <c r="D58" s="70">
        <v>788138.83023580012</v>
      </c>
      <c r="E58" s="70">
        <v>738532.73242000013</v>
      </c>
      <c r="F58" s="157">
        <v>0.39326288995372405</v>
      </c>
      <c r="G58" s="70">
        <v>21785.62632507375</v>
      </c>
    </row>
    <row r="59" spans="1:7" x14ac:dyDescent="0.35">
      <c r="A59" s="155" t="s">
        <v>18</v>
      </c>
      <c r="B59" s="156">
        <v>7.660000000000001</v>
      </c>
      <c r="C59" s="70">
        <v>545542.61100000003</v>
      </c>
      <c r="D59" s="70">
        <v>251361.81453699997</v>
      </c>
      <c r="E59" s="70">
        <v>82482.680000000008</v>
      </c>
      <c r="F59" s="157">
        <v>0.4607556027131306</v>
      </c>
      <c r="G59" s="70">
        <v>10767.973890339425</v>
      </c>
    </row>
    <row r="60" spans="1:7" x14ac:dyDescent="0.35">
      <c r="A60" s="155" t="s">
        <v>51</v>
      </c>
      <c r="B60" s="156">
        <v>206.5</v>
      </c>
      <c r="C60" s="70">
        <v>12818815.117760004</v>
      </c>
      <c r="D60" s="70">
        <v>3828239.4102037558</v>
      </c>
      <c r="E60" s="70">
        <v>5888113.5121629303</v>
      </c>
      <c r="F60" s="157">
        <v>0.29864222044203359</v>
      </c>
      <c r="G60" s="70">
        <v>28513.866886987555</v>
      </c>
    </row>
    <row r="61" spans="1:7" x14ac:dyDescent="0.35">
      <c r="A61" s="155" t="s">
        <v>38</v>
      </c>
      <c r="B61" s="156">
        <v>31.8</v>
      </c>
      <c r="C61" s="70">
        <v>2058611.2</v>
      </c>
      <c r="D61" s="70">
        <v>597721.43321599986</v>
      </c>
      <c r="E61" s="70">
        <v>861857.47400000005</v>
      </c>
      <c r="F61" s="157">
        <v>0.29035178338483725</v>
      </c>
      <c r="G61" s="70">
        <v>27102.436289308178</v>
      </c>
    </row>
    <row r="62" spans="1:7" x14ac:dyDescent="0.35">
      <c r="A62" s="155" t="s">
        <v>52</v>
      </c>
      <c r="B62" s="156">
        <v>234.386</v>
      </c>
      <c r="C62" s="70">
        <v>18394485.402240012</v>
      </c>
      <c r="D62" s="70">
        <v>5695183.1414893465</v>
      </c>
      <c r="E62" s="70">
        <v>3605258.9785231389</v>
      </c>
      <c r="F62" s="157">
        <v>0.3096136160892986</v>
      </c>
      <c r="G62" s="70">
        <v>15381.716393142675</v>
      </c>
    </row>
    <row r="63" spans="1:7" x14ac:dyDescent="0.35">
      <c r="A63" s="155" t="s">
        <v>39</v>
      </c>
      <c r="B63" s="156">
        <v>75.75</v>
      </c>
      <c r="C63" s="70">
        <v>5495075.3979500001</v>
      </c>
      <c r="D63" s="70">
        <v>2065634.0106660018</v>
      </c>
      <c r="E63" s="70">
        <v>1789963.6074999992</v>
      </c>
      <c r="F63" s="157">
        <v>0.37590640001711528</v>
      </c>
      <c r="G63" s="70">
        <v>23629.882607260715</v>
      </c>
    </row>
    <row r="64" spans="1:7" x14ac:dyDescent="0.35">
      <c r="A64" s="155" t="s">
        <v>40</v>
      </c>
      <c r="B64" s="156">
        <v>40.150000000000006</v>
      </c>
      <c r="C64" s="70">
        <v>2576692.6255384604</v>
      </c>
      <c r="D64" s="70">
        <v>255153.70675172319</v>
      </c>
      <c r="E64" s="70">
        <v>601667.68582352949</v>
      </c>
      <c r="F64" s="157">
        <v>9.9023726859311684E-2</v>
      </c>
      <c r="G64" s="70">
        <v>14985.496533587282</v>
      </c>
    </row>
    <row r="65" spans="1:7" s="111" customFormat="1" ht="15" thickBot="1" x14ac:dyDescent="0.4">
      <c r="A65" s="97" t="s">
        <v>171</v>
      </c>
      <c r="B65" s="68">
        <f>SUM(B7:B64)</f>
        <v>12829.628315134101</v>
      </c>
      <c r="C65" s="76">
        <f t="shared" ref="C65:E65" si="0">SUM(C7:C64)</f>
        <v>1005534155.1804767</v>
      </c>
      <c r="D65" s="76">
        <f t="shared" si="0"/>
        <v>378128587.40680581</v>
      </c>
      <c r="E65" s="76">
        <f t="shared" si="0"/>
        <v>268559959.9666028</v>
      </c>
      <c r="F65" s="163">
        <f t="shared" ref="F65" si="1">D65/C65</f>
        <v>0.37604748228461521</v>
      </c>
      <c r="G65" s="76">
        <f>(E65)/B65</f>
        <v>20932.793481616594</v>
      </c>
    </row>
    <row r="66" spans="1:7" ht="15" thickTop="1" x14ac:dyDescent="0.35">
      <c r="B66" s="160">
        <v>12664.082555999999</v>
      </c>
      <c r="C66" s="160">
        <v>959060533.35264766</v>
      </c>
      <c r="D66" s="160">
        <v>46732910.931245454</v>
      </c>
      <c r="E66" s="160">
        <v>572233532.73107314</v>
      </c>
      <c r="F66" s="279">
        <v>4.8727801119996361E-2</v>
      </c>
      <c r="G66" s="158">
        <v>45185.549778334309</v>
      </c>
    </row>
    <row r="67" spans="1:7" x14ac:dyDescent="0.35">
      <c r="B67" s="284">
        <f>B66-B65</f>
        <v>-165.5457591341019</v>
      </c>
      <c r="C67" s="284">
        <f>C66-C65</f>
        <v>-46473621.827829003</v>
      </c>
      <c r="D67" s="284">
        <f>D66-D65</f>
        <v>-331395676.47556037</v>
      </c>
      <c r="E67" s="284">
        <f>E66-E65</f>
        <v>303673572.76447034</v>
      </c>
      <c r="F67" s="278">
        <f t="shared" ref="F67:G67" si="2">F66-F65</f>
        <v>-0.32731968116461885</v>
      </c>
      <c r="G67" s="284">
        <f t="shared" si="2"/>
        <v>24252.756296717715</v>
      </c>
    </row>
    <row r="68" spans="1:7" x14ac:dyDescent="0.35">
      <c r="C68" s="191"/>
      <c r="D68" s="283"/>
      <c r="E68" s="191"/>
    </row>
    <row r="69" spans="1:7" x14ac:dyDescent="0.35">
      <c r="B69" s="264"/>
    </row>
  </sheetData>
  <mergeCells count="2">
    <mergeCell ref="B4:C4"/>
    <mergeCell ref="A5:A6"/>
  </mergeCells>
  <printOptions horizontalCentered="1"/>
  <pageMargins left="0.25" right="0.25" top="0.5" bottom="0.5" header="0.3" footer="0.3"/>
  <pageSetup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92752-F3C8-4A0F-BD86-D9A5A44C2BE7}">
  <sheetPr>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I18" sqref="I18"/>
    </sheetView>
  </sheetViews>
  <sheetFormatPr defaultColWidth="9.1796875" defaultRowHeight="14.5" x14ac:dyDescent="0.35"/>
  <cols>
    <col min="1" max="1" width="16.1796875" style="52" customWidth="1"/>
    <col min="2" max="2" width="15.81640625" style="52" bestFit="1" customWidth="1"/>
    <col min="3" max="3" width="14.81640625" style="52" bestFit="1" customWidth="1"/>
    <col min="4" max="4" width="16.453125" style="52" customWidth="1"/>
    <col min="5" max="5" width="16.1796875" style="52" bestFit="1" customWidth="1"/>
    <col min="6" max="6" width="15.453125" style="52" customWidth="1"/>
    <col min="7" max="7" width="16.1796875" style="52" bestFit="1" customWidth="1"/>
    <col min="8" max="16384" width="9.1796875" style="52"/>
  </cols>
  <sheetData>
    <row r="1" spans="1:7" ht="18.5" x14ac:dyDescent="0.35">
      <c r="A1" s="161" t="s">
        <v>124</v>
      </c>
    </row>
    <row r="2" spans="1:7" x14ac:dyDescent="0.35">
      <c r="A2" s="48" t="s">
        <v>238</v>
      </c>
    </row>
    <row r="4" spans="1:7" x14ac:dyDescent="0.35">
      <c r="B4" s="313" t="s">
        <v>241</v>
      </c>
      <c r="C4" s="314"/>
    </row>
    <row r="5" spans="1:7" ht="43.5" x14ac:dyDescent="0.35">
      <c r="A5" s="315" t="s">
        <v>63</v>
      </c>
      <c r="B5" s="197" t="s">
        <v>183</v>
      </c>
      <c r="C5" s="197" t="s">
        <v>182</v>
      </c>
      <c r="D5" s="41" t="s">
        <v>196</v>
      </c>
      <c r="E5" s="198" t="s">
        <v>197</v>
      </c>
      <c r="F5" s="41" t="s">
        <v>198</v>
      </c>
      <c r="G5" s="41" t="s">
        <v>199</v>
      </c>
    </row>
    <row r="6" spans="1:7" x14ac:dyDescent="0.35">
      <c r="A6" s="316"/>
      <c r="B6" s="77" t="s">
        <v>65</v>
      </c>
      <c r="C6" s="77" t="s">
        <v>1</v>
      </c>
      <c r="D6" s="77" t="s">
        <v>66</v>
      </c>
      <c r="E6" s="77" t="s">
        <v>2</v>
      </c>
      <c r="F6" s="77" t="s">
        <v>3</v>
      </c>
      <c r="G6" s="77" t="s">
        <v>83</v>
      </c>
    </row>
    <row r="7" spans="1:7" x14ac:dyDescent="0.35">
      <c r="A7" s="155" t="s">
        <v>53</v>
      </c>
      <c r="B7" s="156">
        <v>89</v>
      </c>
      <c r="C7" s="285">
        <v>10757655.831599995</v>
      </c>
      <c r="D7" s="285">
        <v>3403006.521625041</v>
      </c>
      <c r="E7" s="69">
        <v>1825372.2791579997</v>
      </c>
      <c r="F7" s="157">
        <f>D7/C7</f>
        <v>0.31633346287477471</v>
      </c>
      <c r="G7" s="69">
        <f>E7/B7</f>
        <v>20509.800889415728</v>
      </c>
    </row>
    <row r="8" spans="1:7" x14ac:dyDescent="0.35">
      <c r="A8" s="155" t="s">
        <v>4</v>
      </c>
      <c r="B8" s="156">
        <v>0.2</v>
      </c>
      <c r="C8" s="70">
        <v>12975.2</v>
      </c>
      <c r="D8" s="70">
        <v>6784.7320799999998</v>
      </c>
      <c r="E8" s="70">
        <v>6425.652</v>
      </c>
      <c r="F8" s="157">
        <f t="shared" ref="F8:F65" si="0">D8/C8</f>
        <v>0.52289999999999992</v>
      </c>
      <c r="G8" s="70">
        <f t="shared" ref="G8:G65" si="1">E8/B8</f>
        <v>32128.26</v>
      </c>
    </row>
    <row r="9" spans="1:7" x14ac:dyDescent="0.35">
      <c r="A9" s="155" t="s">
        <v>5</v>
      </c>
      <c r="B9" s="156">
        <v>3.8499999999999996</v>
      </c>
      <c r="C9" s="70">
        <v>323734.8</v>
      </c>
      <c r="D9" s="70">
        <v>119425.76772</v>
      </c>
      <c r="E9" s="70">
        <v>46337.542000000001</v>
      </c>
      <c r="F9" s="157">
        <f t="shared" si="0"/>
        <v>0.36890000000000001</v>
      </c>
      <c r="G9" s="70">
        <f t="shared" si="1"/>
        <v>12035.725194805196</v>
      </c>
    </row>
    <row r="10" spans="1:7" x14ac:dyDescent="0.35">
      <c r="A10" s="155" t="s">
        <v>19</v>
      </c>
      <c r="B10" s="156">
        <v>18.159999999999997</v>
      </c>
      <c r="C10" s="70">
        <v>1302784.3799999999</v>
      </c>
      <c r="D10" s="70">
        <v>416969.80543619994</v>
      </c>
      <c r="E10" s="70">
        <v>298969.80216899992</v>
      </c>
      <c r="F10" s="157">
        <f t="shared" si="0"/>
        <v>0.32006048877881077</v>
      </c>
      <c r="G10" s="70">
        <f t="shared" si="1"/>
        <v>16463.09483309471</v>
      </c>
    </row>
    <row r="11" spans="1:7" x14ac:dyDescent="0.35">
      <c r="A11" s="155" t="s">
        <v>6</v>
      </c>
      <c r="B11" s="156">
        <v>4</v>
      </c>
      <c r="C11" s="70">
        <v>346145.92</v>
      </c>
      <c r="D11" s="70">
        <v>92306.732486399997</v>
      </c>
      <c r="E11" s="70">
        <v>63706.28</v>
      </c>
      <c r="F11" s="157">
        <f t="shared" si="0"/>
        <v>0.26667000000000002</v>
      </c>
      <c r="G11" s="70">
        <f t="shared" si="1"/>
        <v>15926.57</v>
      </c>
    </row>
    <row r="12" spans="1:7" x14ac:dyDescent="0.35">
      <c r="A12" s="155" t="s">
        <v>7</v>
      </c>
      <c r="B12" s="156">
        <v>2.7</v>
      </c>
      <c r="C12" s="70">
        <v>179060.8</v>
      </c>
      <c r="D12" s="70">
        <v>103729.92143999999</v>
      </c>
      <c r="E12" s="70">
        <v>43280.392000000007</v>
      </c>
      <c r="F12" s="157">
        <f t="shared" si="0"/>
        <v>0.57930000000000004</v>
      </c>
      <c r="G12" s="70">
        <f t="shared" si="1"/>
        <v>16029.774814814817</v>
      </c>
    </row>
    <row r="13" spans="1:7" x14ac:dyDescent="0.35">
      <c r="A13" s="155" t="s">
        <v>41</v>
      </c>
      <c r="B13" s="156">
        <v>34.809999999999995</v>
      </c>
      <c r="C13" s="70">
        <v>3560089.1550999992</v>
      </c>
      <c r="D13" s="70">
        <v>1200414.1766137099</v>
      </c>
      <c r="E13" s="70">
        <v>974459.22487224394</v>
      </c>
      <c r="F13" s="157">
        <f t="shared" si="0"/>
        <v>0.337186549076744</v>
      </c>
      <c r="G13" s="70">
        <f t="shared" si="1"/>
        <v>27993.657709630683</v>
      </c>
    </row>
    <row r="14" spans="1:7" x14ac:dyDescent="0.35">
      <c r="A14" s="155" t="s">
        <v>8</v>
      </c>
      <c r="B14" s="156">
        <v>3</v>
      </c>
      <c r="C14" s="70">
        <v>332344.06760416704</v>
      </c>
      <c r="D14" s="70">
        <v>108742.97892008329</v>
      </c>
      <c r="E14" s="70">
        <v>82339</v>
      </c>
      <c r="F14" s="157">
        <f t="shared" si="0"/>
        <v>0.32719999999999949</v>
      </c>
      <c r="G14" s="70">
        <f t="shared" si="1"/>
        <v>27446.333333333332</v>
      </c>
    </row>
    <row r="15" spans="1:7" x14ac:dyDescent="0.35">
      <c r="A15" s="155" t="s">
        <v>20</v>
      </c>
      <c r="B15" s="156">
        <v>12.200000000000001</v>
      </c>
      <c r="C15" s="70">
        <v>1086381.3251428574</v>
      </c>
      <c r="D15" s="70">
        <v>318518.47130934289</v>
      </c>
      <c r="E15" s="70">
        <v>229107.23662571431</v>
      </c>
      <c r="F15" s="157">
        <f t="shared" si="0"/>
        <v>0.29319214527869231</v>
      </c>
      <c r="G15" s="70">
        <f t="shared" si="1"/>
        <v>18779.281690632321</v>
      </c>
    </row>
    <row r="16" spans="1:7" x14ac:dyDescent="0.35">
      <c r="A16" s="155" t="s">
        <v>42</v>
      </c>
      <c r="B16" s="156">
        <v>54.300000000000011</v>
      </c>
      <c r="C16" s="70">
        <v>5130244</v>
      </c>
      <c r="D16" s="70">
        <v>3086713.2777999998</v>
      </c>
      <c r="E16" s="70">
        <v>774470.26200000022</v>
      </c>
      <c r="F16" s="157">
        <f t="shared" si="0"/>
        <v>0.60166987726119847</v>
      </c>
      <c r="G16" s="70">
        <f t="shared" si="1"/>
        <v>14262.804088397792</v>
      </c>
    </row>
    <row r="17" spans="1:7" x14ac:dyDescent="0.35">
      <c r="A17" s="155" t="s">
        <v>9</v>
      </c>
      <c r="B17" s="156">
        <v>2.5</v>
      </c>
      <c r="C17" s="70">
        <v>143032.80000000002</v>
      </c>
      <c r="D17" s="70">
        <v>26044.477299999999</v>
      </c>
      <c r="E17" s="70">
        <v>103222.63600000001</v>
      </c>
      <c r="F17" s="157">
        <f t="shared" si="0"/>
        <v>0.18208744637593613</v>
      </c>
      <c r="G17" s="70">
        <f t="shared" si="1"/>
        <v>41289.054400000008</v>
      </c>
    </row>
    <row r="18" spans="1:7" x14ac:dyDescent="0.35">
      <c r="A18" s="155" t="s">
        <v>21</v>
      </c>
      <c r="B18" s="156">
        <v>12</v>
      </c>
      <c r="C18" s="70">
        <v>755381.83826999995</v>
      </c>
      <c r="D18" s="70">
        <v>277095.48511797132</v>
      </c>
      <c r="E18" s="70">
        <v>153368.45000000001</v>
      </c>
      <c r="F18" s="157">
        <f t="shared" si="0"/>
        <v>0.366828365575461</v>
      </c>
      <c r="G18" s="70">
        <f t="shared" si="1"/>
        <v>12780.704166666668</v>
      </c>
    </row>
    <row r="19" spans="1:7" x14ac:dyDescent="0.35">
      <c r="A19" s="155" t="s">
        <v>22</v>
      </c>
      <c r="B19" s="156">
        <v>17</v>
      </c>
      <c r="C19" s="70">
        <v>1181503.6399311782</v>
      </c>
      <c r="D19" s="70">
        <v>318528.95229067141</v>
      </c>
      <c r="E19" s="70">
        <v>141836.18218395871</v>
      </c>
      <c r="F19" s="157">
        <f t="shared" si="0"/>
        <v>0.26959625135748672</v>
      </c>
      <c r="G19" s="70">
        <f t="shared" si="1"/>
        <v>8343.3048343505125</v>
      </c>
    </row>
    <row r="20" spans="1:7" x14ac:dyDescent="0.35">
      <c r="A20" s="155" t="s">
        <v>10</v>
      </c>
      <c r="B20" s="156">
        <v>2.89</v>
      </c>
      <c r="C20" s="70">
        <v>190043.40920800003</v>
      </c>
      <c r="D20" s="70">
        <v>31919.197944411997</v>
      </c>
      <c r="E20" s="70">
        <v>48202.173184159998</v>
      </c>
      <c r="F20" s="157">
        <f t="shared" si="0"/>
        <v>0.16795740550769037</v>
      </c>
      <c r="G20" s="70">
        <f t="shared" si="1"/>
        <v>16678.95265887889</v>
      </c>
    </row>
    <row r="21" spans="1:7" x14ac:dyDescent="0.35">
      <c r="A21" s="155" t="s">
        <v>43</v>
      </c>
      <c r="B21" s="156">
        <v>80</v>
      </c>
      <c r="C21" s="70">
        <v>6195764.8285342455</v>
      </c>
      <c r="D21" s="70">
        <v>3126216.0438025924</v>
      </c>
      <c r="E21" s="70">
        <v>1483198.4167655902</v>
      </c>
      <c r="F21" s="157">
        <f t="shared" si="0"/>
        <v>0.50457306407192548</v>
      </c>
      <c r="G21" s="70">
        <f t="shared" si="1"/>
        <v>18539.980209569876</v>
      </c>
    </row>
    <row r="22" spans="1:7" x14ac:dyDescent="0.35">
      <c r="A22" s="155" t="s">
        <v>23</v>
      </c>
      <c r="B22" s="156">
        <v>14</v>
      </c>
      <c r="C22" s="70">
        <v>996599.80999999994</v>
      </c>
      <c r="D22" s="70">
        <v>278117.12257746002</v>
      </c>
      <c r="E22" s="70">
        <v>132781.50600000002</v>
      </c>
      <c r="F22" s="157">
        <f t="shared" si="0"/>
        <v>0.27906600000000004</v>
      </c>
      <c r="G22" s="70">
        <f t="shared" si="1"/>
        <v>9484.3932857142881</v>
      </c>
    </row>
    <row r="23" spans="1:7" x14ac:dyDescent="0.35">
      <c r="A23" s="155" t="s">
        <v>24</v>
      </c>
      <c r="B23" s="156">
        <v>4</v>
      </c>
      <c r="C23" s="70">
        <v>308866.3</v>
      </c>
      <c r="D23" s="70">
        <v>94327.768020000003</v>
      </c>
      <c r="E23" s="70">
        <v>58601.32</v>
      </c>
      <c r="F23" s="157">
        <f t="shared" si="0"/>
        <v>0.3054</v>
      </c>
      <c r="G23" s="70">
        <f t="shared" si="1"/>
        <v>14650.33</v>
      </c>
    </row>
    <row r="24" spans="1:7" x14ac:dyDescent="0.35">
      <c r="A24" s="155" t="s">
        <v>11</v>
      </c>
      <c r="B24" s="156">
        <v>4</v>
      </c>
      <c r="C24" s="70">
        <v>255272.16999999998</v>
      </c>
      <c r="D24" s="70">
        <v>39886.276562499996</v>
      </c>
      <c r="E24" s="70">
        <v>20717.001700000004</v>
      </c>
      <c r="F24" s="157">
        <f t="shared" si="0"/>
        <v>0.15625</v>
      </c>
      <c r="G24" s="70">
        <f t="shared" si="1"/>
        <v>5179.2504250000011</v>
      </c>
    </row>
    <row r="25" spans="1:7" x14ac:dyDescent="0.35">
      <c r="A25" s="155" t="s">
        <v>54</v>
      </c>
      <c r="B25" s="156">
        <v>712.25</v>
      </c>
      <c r="C25" s="70">
        <v>69763516.897265166</v>
      </c>
      <c r="D25" s="70">
        <v>28128311.699058082</v>
      </c>
      <c r="E25" s="70">
        <v>17395656.146940053</v>
      </c>
      <c r="F25" s="157">
        <f t="shared" si="0"/>
        <v>0.40319515056100552</v>
      </c>
      <c r="G25" s="70">
        <f t="shared" si="1"/>
        <v>24423.525653829489</v>
      </c>
    </row>
    <row r="26" spans="1:7" x14ac:dyDescent="0.35">
      <c r="A26" s="155" t="s">
        <v>25</v>
      </c>
      <c r="B26" s="156">
        <v>14</v>
      </c>
      <c r="C26" s="70">
        <v>1055504.25</v>
      </c>
      <c r="D26" s="70">
        <v>440111.26270624995</v>
      </c>
      <c r="E26" s="70">
        <v>165452</v>
      </c>
      <c r="F26" s="157">
        <f t="shared" si="0"/>
        <v>0.41696777886612013</v>
      </c>
      <c r="G26" s="70">
        <f t="shared" si="1"/>
        <v>11818</v>
      </c>
    </row>
    <row r="27" spans="1:7" x14ac:dyDescent="0.35">
      <c r="A27" s="155" t="s">
        <v>26</v>
      </c>
      <c r="B27" s="156">
        <v>23.384615384615387</v>
      </c>
      <c r="C27" s="70">
        <v>2220718.5706798397</v>
      </c>
      <c r="D27" s="70">
        <v>479155.88578726322</v>
      </c>
      <c r="E27" s="70">
        <v>417526.22769230756</v>
      </c>
      <c r="F27" s="157">
        <f t="shared" si="0"/>
        <v>0.21576614529799551</v>
      </c>
      <c r="G27" s="70">
        <f t="shared" si="1"/>
        <v>17854.739999999991</v>
      </c>
    </row>
    <row r="28" spans="1:7" x14ac:dyDescent="0.35">
      <c r="A28" s="155" t="s">
        <v>12</v>
      </c>
      <c r="B28" s="156">
        <v>2.5999999999999996</v>
      </c>
      <c r="C28" s="70">
        <v>193012.51</v>
      </c>
      <c r="D28" s="70">
        <v>33478.395256999996</v>
      </c>
      <c r="E28" s="70">
        <v>40843.805099999998</v>
      </c>
      <c r="F28" s="157">
        <f t="shared" si="0"/>
        <v>0.1734519449386985</v>
      </c>
      <c r="G28" s="70">
        <f t="shared" si="1"/>
        <v>15709.155807692308</v>
      </c>
    </row>
    <row r="29" spans="1:7" x14ac:dyDescent="0.35">
      <c r="A29" s="155" t="s">
        <v>27</v>
      </c>
      <c r="B29" s="156">
        <v>9</v>
      </c>
      <c r="C29" s="70">
        <v>749923.20000000019</v>
      </c>
      <c r="D29" s="70">
        <v>364026.32614399999</v>
      </c>
      <c r="E29" s="70">
        <v>177657.75</v>
      </c>
      <c r="F29" s="157">
        <f t="shared" si="0"/>
        <v>0.4854181416763742</v>
      </c>
      <c r="G29" s="70">
        <f t="shared" si="1"/>
        <v>19739.75</v>
      </c>
    </row>
    <row r="30" spans="1:7" x14ac:dyDescent="0.35">
      <c r="A30" s="155" t="s">
        <v>28</v>
      </c>
      <c r="B30" s="156">
        <v>31</v>
      </c>
      <c r="C30" s="70">
        <v>2137449.6</v>
      </c>
      <c r="D30" s="70">
        <v>1105749.88992</v>
      </c>
      <c r="E30" s="70">
        <v>478307.52000000008</v>
      </c>
      <c r="F30" s="157">
        <f t="shared" si="0"/>
        <v>0.51732208793133649</v>
      </c>
      <c r="G30" s="70">
        <f t="shared" si="1"/>
        <v>15429.27483870968</v>
      </c>
    </row>
    <row r="31" spans="1:7" x14ac:dyDescent="0.35">
      <c r="A31" s="155" t="s">
        <v>13</v>
      </c>
      <c r="B31" s="156">
        <v>2</v>
      </c>
      <c r="C31" s="70">
        <v>98837.88</v>
      </c>
      <c r="D31" s="70">
        <v>36135.128927999998</v>
      </c>
      <c r="E31" s="70">
        <v>39190.603351999998</v>
      </c>
      <c r="F31" s="157">
        <f t="shared" si="0"/>
        <v>0.36559999999999998</v>
      </c>
      <c r="G31" s="70">
        <f t="shared" si="1"/>
        <v>19595.301675999999</v>
      </c>
    </row>
    <row r="32" spans="1:7" x14ac:dyDescent="0.35">
      <c r="A32" s="155" t="s">
        <v>14</v>
      </c>
      <c r="B32" s="156">
        <v>3.9999999999999991</v>
      </c>
      <c r="C32" s="70">
        <v>348155.61249999999</v>
      </c>
      <c r="D32" s="70">
        <v>115910.669436875</v>
      </c>
      <c r="E32" s="70">
        <v>108144.9492375</v>
      </c>
      <c r="F32" s="157">
        <f t="shared" si="0"/>
        <v>0.33292776354962539</v>
      </c>
      <c r="G32" s="70">
        <f t="shared" si="1"/>
        <v>27036.237309375007</v>
      </c>
    </row>
    <row r="33" spans="1:7" x14ac:dyDescent="0.35">
      <c r="A33" s="155" t="s">
        <v>44</v>
      </c>
      <c r="B33" s="156">
        <v>35</v>
      </c>
      <c r="C33" s="70">
        <v>3606877.9600000009</v>
      </c>
      <c r="D33" s="70">
        <v>569478.22861200001</v>
      </c>
      <c r="E33" s="70">
        <v>1003617.0790399996</v>
      </c>
      <c r="F33" s="157">
        <f t="shared" si="0"/>
        <v>0.15788674718897333</v>
      </c>
      <c r="G33" s="70">
        <f t="shared" si="1"/>
        <v>28674.773686857134</v>
      </c>
    </row>
    <row r="34" spans="1:7" x14ac:dyDescent="0.35">
      <c r="A34" s="155" t="s">
        <v>29</v>
      </c>
      <c r="B34" s="156">
        <v>11.5</v>
      </c>
      <c r="C34" s="70">
        <v>1144899.2</v>
      </c>
      <c r="D34" s="70">
        <v>308571.99202880001</v>
      </c>
      <c r="E34" s="70">
        <v>238632.3</v>
      </c>
      <c r="F34" s="157">
        <f t="shared" si="0"/>
        <v>0.26951891662497451</v>
      </c>
      <c r="G34" s="70">
        <f t="shared" si="1"/>
        <v>20750.634782608693</v>
      </c>
    </row>
    <row r="35" spans="1:7" x14ac:dyDescent="0.35">
      <c r="A35" s="155" t="s">
        <v>30</v>
      </c>
      <c r="B35" s="156">
        <v>6.88</v>
      </c>
      <c r="C35" s="70">
        <v>539553.8773428573</v>
      </c>
      <c r="D35" s="70">
        <v>261105.3881858142</v>
      </c>
      <c r="E35" s="70">
        <v>118545.71788224204</v>
      </c>
      <c r="F35" s="157">
        <f t="shared" si="0"/>
        <v>0.4839282954867839</v>
      </c>
      <c r="G35" s="70">
        <f t="shared" si="1"/>
        <v>17230.482250325877</v>
      </c>
    </row>
    <row r="36" spans="1:7" x14ac:dyDescent="0.35">
      <c r="A36" s="155" t="s">
        <v>55</v>
      </c>
      <c r="B36" s="156">
        <v>196.22499999999999</v>
      </c>
      <c r="C36" s="70">
        <v>16402103.146199999</v>
      </c>
      <c r="D36" s="70">
        <v>7372029.6511102207</v>
      </c>
      <c r="E36" s="70">
        <v>2620307.8229400003</v>
      </c>
      <c r="F36" s="157">
        <f t="shared" si="0"/>
        <v>0.44945636455274673</v>
      </c>
      <c r="G36" s="70">
        <f t="shared" si="1"/>
        <v>13353.588089896804</v>
      </c>
    </row>
    <row r="37" spans="1:7" x14ac:dyDescent="0.35">
      <c r="A37" s="155" t="s">
        <v>31</v>
      </c>
      <c r="B37" s="156">
        <v>31.2</v>
      </c>
      <c r="C37" s="70">
        <v>2789184.64</v>
      </c>
      <c r="D37" s="70">
        <v>1096528.506330512</v>
      </c>
      <c r="E37" s="70">
        <v>822564.32897196361</v>
      </c>
      <c r="F37" s="157">
        <f t="shared" si="0"/>
        <v>0.3931358615005538</v>
      </c>
      <c r="G37" s="70">
        <f t="shared" si="1"/>
        <v>26364.241313203962</v>
      </c>
    </row>
    <row r="38" spans="1:7" x14ac:dyDescent="0.35">
      <c r="A38" s="155" t="s">
        <v>15</v>
      </c>
      <c r="B38" s="156">
        <v>1.8</v>
      </c>
      <c r="C38" s="70">
        <v>116310.15000000001</v>
      </c>
      <c r="D38" s="70">
        <v>32217.911550000004</v>
      </c>
      <c r="E38" s="70">
        <v>42967.8</v>
      </c>
      <c r="F38" s="157">
        <f t="shared" si="0"/>
        <v>0.27700000000000002</v>
      </c>
      <c r="G38" s="70">
        <f t="shared" si="1"/>
        <v>23871</v>
      </c>
    </row>
    <row r="39" spans="1:7" x14ac:dyDescent="0.35">
      <c r="A39" s="155" t="s">
        <v>56</v>
      </c>
      <c r="B39" s="156">
        <v>107.36</v>
      </c>
      <c r="C39" s="70">
        <v>11019821.969760001</v>
      </c>
      <c r="D39" s="70">
        <v>4161730.3698296552</v>
      </c>
      <c r="E39" s="70">
        <v>2210828.7112164409</v>
      </c>
      <c r="F39" s="157">
        <f t="shared" si="0"/>
        <v>0.37765858479837972</v>
      </c>
      <c r="G39" s="70">
        <f t="shared" si="1"/>
        <v>20592.666833238087</v>
      </c>
    </row>
    <row r="40" spans="1:7" x14ac:dyDescent="0.35">
      <c r="A40" s="155" t="s">
        <v>57</v>
      </c>
      <c r="B40" s="156">
        <v>83.45</v>
      </c>
      <c r="C40" s="70">
        <v>9216684.3855921049</v>
      </c>
      <c r="D40" s="70">
        <v>4165930.3920034198</v>
      </c>
      <c r="E40" s="70">
        <v>1738653.5878901333</v>
      </c>
      <c r="F40" s="157">
        <f t="shared" si="0"/>
        <v>0.45199881190634794</v>
      </c>
      <c r="G40" s="70">
        <f t="shared" si="1"/>
        <v>20834.674510367084</v>
      </c>
    </row>
    <row r="41" spans="1:7" x14ac:dyDescent="0.35">
      <c r="A41" s="155" t="s">
        <v>16</v>
      </c>
      <c r="B41" s="156">
        <v>6</v>
      </c>
      <c r="C41" s="70">
        <v>645985.19999999995</v>
      </c>
      <c r="D41" s="70">
        <v>107879.5284</v>
      </c>
      <c r="E41" s="70">
        <v>68763.111120000001</v>
      </c>
      <c r="F41" s="157">
        <f t="shared" si="0"/>
        <v>0.16700000000000001</v>
      </c>
      <c r="G41" s="70">
        <f t="shared" si="1"/>
        <v>11460.51852</v>
      </c>
    </row>
    <row r="42" spans="1:7" x14ac:dyDescent="0.35">
      <c r="A42" s="155" t="s">
        <v>58</v>
      </c>
      <c r="B42" s="156">
        <v>119</v>
      </c>
      <c r="C42" s="70">
        <v>10686124.800000014</v>
      </c>
      <c r="D42" s="70">
        <v>3772799.0525019653</v>
      </c>
      <c r="E42" s="70">
        <v>1894861.2508000003</v>
      </c>
      <c r="F42" s="157">
        <f t="shared" si="0"/>
        <v>0.35305586666009742</v>
      </c>
      <c r="G42" s="70">
        <f t="shared" si="1"/>
        <v>15923.203788235296</v>
      </c>
    </row>
    <row r="43" spans="1:7" x14ac:dyDescent="0.35">
      <c r="A43" s="155" t="s">
        <v>59</v>
      </c>
      <c r="B43" s="156">
        <v>156.24191570881223</v>
      </c>
      <c r="C43" s="70">
        <v>15044918.234235991</v>
      </c>
      <c r="D43" s="70">
        <v>8045098.5955541022</v>
      </c>
      <c r="E43" s="70">
        <v>3036859.6439061472</v>
      </c>
      <c r="F43" s="157">
        <f t="shared" si="0"/>
        <v>0.53473860544132412</v>
      </c>
      <c r="G43" s="70">
        <f t="shared" si="1"/>
        <v>19436.90737616106</v>
      </c>
    </row>
    <row r="44" spans="1:7" x14ac:dyDescent="0.35">
      <c r="A44" s="155" t="s">
        <v>60</v>
      </c>
      <c r="B44" s="156">
        <v>40</v>
      </c>
      <c r="C44" s="70">
        <v>5039446.709999999</v>
      </c>
      <c r="D44" s="70">
        <v>1307793.0524957001</v>
      </c>
      <c r="E44" s="70">
        <v>1109401.9020389998</v>
      </c>
      <c r="F44" s="157">
        <f t="shared" si="0"/>
        <v>0.25951123759292621</v>
      </c>
      <c r="G44" s="70">
        <f t="shared" si="1"/>
        <v>27735.047550974996</v>
      </c>
    </row>
    <row r="45" spans="1:7" x14ac:dyDescent="0.35">
      <c r="A45" s="155" t="s">
        <v>45</v>
      </c>
      <c r="B45" s="156">
        <v>32.094999999999999</v>
      </c>
      <c r="C45" s="70">
        <v>3178914.0950500015</v>
      </c>
      <c r="D45" s="70">
        <v>1717116.0335570788</v>
      </c>
      <c r="E45" s="70">
        <v>421711.41759999999</v>
      </c>
      <c r="F45" s="157">
        <f t="shared" si="0"/>
        <v>0.54015804838226367</v>
      </c>
      <c r="G45" s="70">
        <f t="shared" si="1"/>
        <v>13139.473986602274</v>
      </c>
    </row>
    <row r="46" spans="1:7" x14ac:dyDescent="0.35">
      <c r="A46" s="155" t="s">
        <v>32</v>
      </c>
      <c r="B46" s="156">
        <v>16</v>
      </c>
      <c r="C46" s="70">
        <v>1615187</v>
      </c>
      <c r="D46" s="70">
        <v>756313.1386200001</v>
      </c>
      <c r="E46" s="70">
        <v>202638.90559739995</v>
      </c>
      <c r="F46" s="157">
        <f t="shared" si="0"/>
        <v>0.46825113043876659</v>
      </c>
      <c r="G46" s="70">
        <f t="shared" si="1"/>
        <v>12664.931599837497</v>
      </c>
    </row>
    <row r="47" spans="1:7" x14ac:dyDescent="0.35">
      <c r="A47" s="155" t="s">
        <v>46</v>
      </c>
      <c r="B47" s="156">
        <v>51</v>
      </c>
      <c r="C47" s="70">
        <v>5338923.9799999986</v>
      </c>
      <c r="D47" s="70">
        <v>2311963.6383159994</v>
      </c>
      <c r="E47" s="70">
        <v>944694.61990000005</v>
      </c>
      <c r="F47" s="157">
        <f t="shared" si="0"/>
        <v>0.43303925041390084</v>
      </c>
      <c r="G47" s="70">
        <f t="shared" si="1"/>
        <v>18523.423919607845</v>
      </c>
    </row>
    <row r="48" spans="1:7" x14ac:dyDescent="0.35">
      <c r="A48" s="155" t="s">
        <v>47</v>
      </c>
      <c r="B48" s="156">
        <v>29.574999999999999</v>
      </c>
      <c r="C48" s="70">
        <v>2846749.3095000004</v>
      </c>
      <c r="D48" s="70">
        <v>1261527.4181378498</v>
      </c>
      <c r="E48" s="70">
        <v>381441.20281976502</v>
      </c>
      <c r="F48" s="157">
        <f t="shared" si="0"/>
        <v>0.44314664938284393</v>
      </c>
      <c r="G48" s="70">
        <f t="shared" si="1"/>
        <v>12897.420213686053</v>
      </c>
    </row>
    <row r="49" spans="1:7" x14ac:dyDescent="0.35">
      <c r="A49" s="155" t="s">
        <v>61</v>
      </c>
      <c r="B49" s="156">
        <v>73.63</v>
      </c>
      <c r="C49" s="70">
        <v>8639822.244793199</v>
      </c>
      <c r="D49" s="70">
        <v>2996657.6094194306</v>
      </c>
      <c r="E49" s="70">
        <v>1736506.540412087</v>
      </c>
      <c r="F49" s="157">
        <f t="shared" si="0"/>
        <v>0.34684250723160082</v>
      </c>
      <c r="G49" s="70">
        <f t="shared" si="1"/>
        <v>23584.225728807378</v>
      </c>
    </row>
    <row r="50" spans="1:7" x14ac:dyDescent="0.35">
      <c r="A50" s="155" t="s">
        <v>33</v>
      </c>
      <c r="B50" s="156">
        <v>15</v>
      </c>
      <c r="C50" s="70">
        <v>1641783.2547187498</v>
      </c>
      <c r="D50" s="70">
        <v>593106.32293979346</v>
      </c>
      <c r="E50" s="70">
        <v>337249.09635712818</v>
      </c>
      <c r="F50" s="157">
        <f t="shared" si="0"/>
        <v>0.36125738354019038</v>
      </c>
      <c r="G50" s="70">
        <f t="shared" si="1"/>
        <v>22483.273090475213</v>
      </c>
    </row>
    <row r="51" spans="1:7" x14ac:dyDescent="0.35">
      <c r="A51" s="155" t="s">
        <v>34</v>
      </c>
      <c r="B51" s="156">
        <v>23</v>
      </c>
      <c r="C51" s="70">
        <v>1998329.5799999996</v>
      </c>
      <c r="D51" s="70">
        <v>661433.2966130001</v>
      </c>
      <c r="E51" s="70">
        <v>336464.19000000006</v>
      </c>
      <c r="F51" s="157">
        <f t="shared" si="0"/>
        <v>0.33099309705108815</v>
      </c>
      <c r="G51" s="70">
        <f t="shared" si="1"/>
        <v>14628.877826086959</v>
      </c>
    </row>
    <row r="52" spans="1:7" x14ac:dyDescent="0.35">
      <c r="A52" s="155" t="s">
        <v>17</v>
      </c>
      <c r="B52" s="156">
        <v>0.87000000000000011</v>
      </c>
      <c r="C52" s="70">
        <v>61806.261599999998</v>
      </c>
      <c r="D52" s="70">
        <v>23066.096829120001</v>
      </c>
      <c r="E52" s="70">
        <v>23543.656567919999</v>
      </c>
      <c r="F52" s="157">
        <f t="shared" si="0"/>
        <v>0.37320000000000003</v>
      </c>
      <c r="G52" s="70">
        <f t="shared" si="1"/>
        <v>27061.674215999996</v>
      </c>
    </row>
    <row r="53" spans="1:7" x14ac:dyDescent="0.35">
      <c r="A53" s="155" t="s">
        <v>35</v>
      </c>
      <c r="B53" s="156">
        <v>2.7</v>
      </c>
      <c r="C53" s="70">
        <v>239011.8</v>
      </c>
      <c r="D53" s="70">
        <v>110280.04452</v>
      </c>
      <c r="E53" s="70">
        <v>64454.604132000008</v>
      </c>
      <c r="F53" s="157">
        <f t="shared" si="0"/>
        <v>0.46140000000000003</v>
      </c>
      <c r="G53" s="70">
        <f t="shared" si="1"/>
        <v>23872.075604444446</v>
      </c>
    </row>
    <row r="54" spans="1:7" x14ac:dyDescent="0.35">
      <c r="A54" s="155" t="s">
        <v>48</v>
      </c>
      <c r="B54" s="156">
        <v>21</v>
      </c>
      <c r="C54" s="70">
        <v>1915394.3824625912</v>
      </c>
      <c r="D54" s="70">
        <v>976256.77440371236</v>
      </c>
      <c r="E54" s="70">
        <v>491298.37400000001</v>
      </c>
      <c r="F54" s="157">
        <f t="shared" si="0"/>
        <v>0.50968969280809684</v>
      </c>
      <c r="G54" s="70">
        <f t="shared" si="1"/>
        <v>23395.160666666667</v>
      </c>
    </row>
    <row r="55" spans="1:7" x14ac:dyDescent="0.35">
      <c r="A55" s="155" t="s">
        <v>49</v>
      </c>
      <c r="B55" s="156">
        <v>16</v>
      </c>
      <c r="C55" s="70">
        <v>1436446.3044</v>
      </c>
      <c r="D55" s="70">
        <v>566056.02012183599</v>
      </c>
      <c r="E55" s="70">
        <v>376003.578064712</v>
      </c>
      <c r="F55" s="157">
        <f t="shared" si="0"/>
        <v>0.39406695425226923</v>
      </c>
      <c r="G55" s="70">
        <f t="shared" si="1"/>
        <v>23500.2236290445</v>
      </c>
    </row>
    <row r="56" spans="1:7" x14ac:dyDescent="0.35">
      <c r="A56" s="155" t="s">
        <v>50</v>
      </c>
      <c r="B56" s="156">
        <v>35.25</v>
      </c>
      <c r="C56" s="70">
        <v>3520294.2600000002</v>
      </c>
      <c r="D56" s="70">
        <v>1233615.3308589999</v>
      </c>
      <c r="E56" s="70">
        <v>700138.24406224303</v>
      </c>
      <c r="F56" s="157">
        <f t="shared" si="0"/>
        <v>0.35042960609179297</v>
      </c>
      <c r="G56" s="70">
        <f t="shared" si="1"/>
        <v>19862.077845737393</v>
      </c>
    </row>
    <row r="57" spans="1:7" x14ac:dyDescent="0.35">
      <c r="A57" s="155" t="s">
        <v>36</v>
      </c>
      <c r="B57" s="156">
        <v>14</v>
      </c>
      <c r="C57" s="70">
        <v>988922.93000000017</v>
      </c>
      <c r="D57" s="70">
        <v>415645.11349899997</v>
      </c>
      <c r="E57" s="70">
        <v>358140.24000000005</v>
      </c>
      <c r="F57" s="157">
        <f t="shared" si="0"/>
        <v>0.42030081504834749</v>
      </c>
      <c r="G57" s="70">
        <f t="shared" si="1"/>
        <v>25581.445714285717</v>
      </c>
    </row>
    <row r="58" spans="1:7" x14ac:dyDescent="0.35">
      <c r="A58" s="155" t="s">
        <v>37</v>
      </c>
      <c r="B58" s="156">
        <v>6.9</v>
      </c>
      <c r="C58" s="70">
        <v>635483.1</v>
      </c>
      <c r="D58" s="70">
        <v>250098.03078799997</v>
      </c>
      <c r="E58" s="70">
        <v>151636.5252</v>
      </c>
      <c r="F58" s="157">
        <f t="shared" si="0"/>
        <v>0.39355575433555978</v>
      </c>
      <c r="G58" s="70">
        <f t="shared" si="1"/>
        <v>21976.308000000001</v>
      </c>
    </row>
    <row r="59" spans="1:7" x14ac:dyDescent="0.35">
      <c r="A59" s="155" t="s">
        <v>18</v>
      </c>
      <c r="B59" s="156">
        <v>0.3</v>
      </c>
      <c r="C59" s="70">
        <v>16504.8</v>
      </c>
      <c r="D59" s="70">
        <v>8235.8952000000008</v>
      </c>
      <c r="E59" s="70">
        <v>3407.1</v>
      </c>
      <c r="F59" s="157">
        <f t="shared" si="0"/>
        <v>0.49900000000000005</v>
      </c>
      <c r="G59" s="70">
        <f t="shared" si="1"/>
        <v>11357</v>
      </c>
    </row>
    <row r="60" spans="1:7" x14ac:dyDescent="0.35">
      <c r="A60" s="155" t="s">
        <v>51</v>
      </c>
      <c r="B60" s="156">
        <v>24</v>
      </c>
      <c r="C60" s="70">
        <v>2235369.8140000007</v>
      </c>
      <c r="D60" s="70">
        <v>674995.55750000011</v>
      </c>
      <c r="E60" s="70">
        <v>730748.53310640587</v>
      </c>
      <c r="F60" s="157">
        <f t="shared" si="0"/>
        <v>0.30196147110538013</v>
      </c>
      <c r="G60" s="70">
        <f t="shared" si="1"/>
        <v>30447.855546100243</v>
      </c>
    </row>
    <row r="61" spans="1:7" x14ac:dyDescent="0.35">
      <c r="A61" s="155" t="s">
        <v>38</v>
      </c>
      <c r="B61" s="156">
        <v>4</v>
      </c>
      <c r="C61" s="70">
        <v>347933</v>
      </c>
      <c r="D61" s="70">
        <v>106023.88469000001</v>
      </c>
      <c r="E61" s="70">
        <v>111341.34</v>
      </c>
      <c r="F61" s="157">
        <f t="shared" si="0"/>
        <v>0.3047250036357575</v>
      </c>
      <c r="G61" s="70">
        <f t="shared" si="1"/>
        <v>27835.334999999999</v>
      </c>
    </row>
    <row r="62" spans="1:7" x14ac:dyDescent="0.35">
      <c r="A62" s="155" t="s">
        <v>52</v>
      </c>
      <c r="B62" s="156">
        <v>42.554000000000002</v>
      </c>
      <c r="C62" s="70">
        <v>4793603.9748599995</v>
      </c>
      <c r="D62" s="70">
        <v>1561443.8844619708</v>
      </c>
      <c r="E62" s="70">
        <v>771330.47582253267</v>
      </c>
      <c r="F62" s="157">
        <f t="shared" si="0"/>
        <v>0.32573485266011648</v>
      </c>
      <c r="G62" s="70">
        <f t="shared" si="1"/>
        <v>18125.921789315518</v>
      </c>
    </row>
    <row r="63" spans="1:7" x14ac:dyDescent="0.35">
      <c r="A63" s="155" t="s">
        <v>39</v>
      </c>
      <c r="B63" s="156">
        <v>15</v>
      </c>
      <c r="C63" s="70">
        <v>1326405</v>
      </c>
      <c r="D63" s="70">
        <v>550486.58825500007</v>
      </c>
      <c r="E63" s="70">
        <v>498440.60000000003</v>
      </c>
      <c r="F63" s="157">
        <f t="shared" si="0"/>
        <v>0.41502149664318216</v>
      </c>
      <c r="G63" s="70">
        <f t="shared" si="1"/>
        <v>33229.373333333337</v>
      </c>
    </row>
    <row r="64" spans="1:7" x14ac:dyDescent="0.35">
      <c r="A64" s="155" t="s">
        <v>40</v>
      </c>
      <c r="B64" s="156">
        <v>7</v>
      </c>
      <c r="C64" s="70">
        <v>656296.13600000006</v>
      </c>
      <c r="D64" s="70">
        <v>66089.020895199996</v>
      </c>
      <c r="E64" s="70">
        <v>133384.50999999998</v>
      </c>
      <c r="F64" s="157">
        <f t="shared" si="0"/>
        <v>0.10069999999999998</v>
      </c>
      <c r="G64" s="70">
        <f t="shared" si="1"/>
        <v>19054.929999999997</v>
      </c>
    </row>
    <row r="65" spans="1:7" s="111" customFormat="1" ht="15" thickBot="1" x14ac:dyDescent="0.4">
      <c r="A65" s="97" t="s">
        <v>171</v>
      </c>
      <c r="B65" s="68">
        <f>SUM(B7:B64)</f>
        <v>2381.375531093428</v>
      </c>
      <c r="C65" s="76">
        <f t="shared" ref="C65:D65" si="2">SUM(C7:C64)</f>
        <v>229310090.29635102</v>
      </c>
      <c r="D65" s="76">
        <f t="shared" si="2"/>
        <v>91793199.33451204</v>
      </c>
      <c r="E65" s="76">
        <f>SUM(E7:E64)</f>
        <v>48989751.368428655</v>
      </c>
      <c r="F65" s="163">
        <f t="shared" si="0"/>
        <v>0.4003016143593256</v>
      </c>
      <c r="G65" s="76">
        <f t="shared" si="1"/>
        <v>20572.039448954365</v>
      </c>
    </row>
    <row r="66" spans="1:7" ht="15" thickTop="1" x14ac:dyDescent="0.35">
      <c r="B66" s="160">
        <v>2329.6236940000003</v>
      </c>
      <c r="C66" s="280">
        <v>215784100.06050202</v>
      </c>
      <c r="D66" s="160">
        <v>13741855.72212306</v>
      </c>
      <c r="E66" s="160">
        <v>120038124.44920602</v>
      </c>
      <c r="F66" s="279">
        <v>6.3683356272635883E-2</v>
      </c>
      <c r="G66" s="158">
        <v>51526.830173631468</v>
      </c>
    </row>
    <row r="67" spans="1:7" x14ac:dyDescent="0.35">
      <c r="B67" s="282">
        <f>B66-B65</f>
        <v>-51.751837093427639</v>
      </c>
      <c r="C67" s="282">
        <f>C66-C65</f>
        <v>-13525990.235848993</v>
      </c>
      <c r="D67" s="282">
        <f>D66-D65</f>
        <v>-78051343.612388983</v>
      </c>
      <c r="E67" s="160">
        <f t="shared" ref="E67:G67" si="3">E66-E65</f>
        <v>71048373.080777377</v>
      </c>
      <c r="F67" s="281">
        <f>F66-F65</f>
        <v>-0.33661825808668971</v>
      </c>
      <c r="G67" s="160">
        <f t="shared" si="3"/>
        <v>30954.790724677103</v>
      </c>
    </row>
    <row r="68" spans="1:7" x14ac:dyDescent="0.35">
      <c r="D68" s="159"/>
    </row>
  </sheetData>
  <mergeCells count="2">
    <mergeCell ref="B4:C4"/>
    <mergeCell ref="A5:A6"/>
  </mergeCells>
  <printOptions horizontalCentered="1"/>
  <pageMargins left="0.5" right="0.5" top="0.5" bottom="0.5" header="0.3" footer="0.3"/>
  <pageSetup scale="7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D6F6-189A-44B6-B011-C373DFC30D94}">
  <sheetPr>
    <tabColor rgb="FF92D050"/>
    <pageSetUpPr fitToPage="1"/>
  </sheetPr>
  <dimension ref="A1:J67"/>
  <sheetViews>
    <sheetView zoomScaleNormal="100" workbookViewId="0">
      <pane xSplit="2" ySplit="6" topLeftCell="C7" activePane="bottomRight" state="frozen"/>
      <selection pane="topRight" activeCell="C1" sqref="C1"/>
      <selection pane="bottomLeft" activeCell="A7" sqref="A7"/>
      <selection pane="bottomRight" activeCell="I20" sqref="I20"/>
    </sheetView>
  </sheetViews>
  <sheetFormatPr defaultColWidth="9.1796875" defaultRowHeight="14.5" x14ac:dyDescent="0.35"/>
  <cols>
    <col min="1" max="1" width="10.81640625" style="43" bestFit="1" customWidth="1"/>
    <col min="2" max="2" width="15.81640625" style="52" customWidth="1"/>
    <col min="3" max="3" width="1.81640625" style="52" customWidth="1"/>
    <col min="4" max="4" width="17" style="191" customWidth="1"/>
    <col min="5" max="5" width="19.1796875" style="53" customWidth="1"/>
    <col min="6" max="6" width="5.1796875" style="52" customWidth="1"/>
    <col min="7" max="7" width="15.81640625" style="52" customWidth="1"/>
    <col min="8" max="8" width="19.26953125" style="52" customWidth="1"/>
    <col min="9" max="9" width="20.1796875" style="52" bestFit="1" customWidth="1"/>
    <col min="10" max="16384" width="9.1796875" style="52"/>
  </cols>
  <sheetData>
    <row r="1" spans="1:10" ht="18.5" x14ac:dyDescent="0.35">
      <c r="A1" s="45" t="s">
        <v>195</v>
      </c>
      <c r="C1" s="99"/>
    </row>
    <row r="2" spans="1:10" ht="16" customHeight="1" x14ac:dyDescent="0.35">
      <c r="A2" s="48" t="s">
        <v>238</v>
      </c>
      <c r="C2" s="50"/>
    </row>
    <row r="3" spans="1:10" ht="15" customHeight="1" x14ac:dyDescent="0.35">
      <c r="C3" s="50"/>
    </row>
    <row r="4" spans="1:10" ht="15" thickBot="1" x14ac:dyDescent="0.4">
      <c r="C4" s="80"/>
      <c r="D4" s="313" t="s">
        <v>241</v>
      </c>
      <c r="E4" s="314"/>
    </row>
    <row r="5" spans="1:10" ht="29" x14ac:dyDescent="0.35">
      <c r="A5" s="311" t="s">
        <v>68</v>
      </c>
      <c r="B5" s="325" t="s">
        <v>63</v>
      </c>
      <c r="C5" s="80"/>
      <c r="D5" s="195" t="s">
        <v>200</v>
      </c>
      <c r="E5" s="196" t="s">
        <v>182</v>
      </c>
      <c r="G5" s="327" t="s">
        <v>68</v>
      </c>
      <c r="H5" s="317" t="s">
        <v>100</v>
      </c>
      <c r="I5" s="317" t="s">
        <v>223</v>
      </c>
    </row>
    <row r="6" spans="1:10" ht="16" customHeight="1" x14ac:dyDescent="0.35">
      <c r="A6" s="312"/>
      <c r="B6" s="326"/>
      <c r="C6" s="80"/>
      <c r="D6" s="77" t="s">
        <v>65</v>
      </c>
      <c r="E6" s="77" t="s">
        <v>1</v>
      </c>
      <c r="G6" s="328"/>
      <c r="H6" s="318"/>
      <c r="I6" s="318"/>
    </row>
    <row r="7" spans="1:10" x14ac:dyDescent="0.35">
      <c r="A7" s="194">
        <v>4</v>
      </c>
      <c r="B7" s="155" t="s">
        <v>53</v>
      </c>
      <c r="C7" s="81"/>
      <c r="D7" s="193">
        <v>1</v>
      </c>
      <c r="E7" s="272">
        <v>299257.59999999998</v>
      </c>
      <c r="G7" s="322">
        <v>1</v>
      </c>
      <c r="H7" s="319">
        <f>AVERAGEIF($A$7:$A$64,1,$E$7:$E$64)</f>
        <v>139232.32088888885</v>
      </c>
      <c r="I7" s="319">
        <f>SUMIF($A$7:$A$64,1,$E$7:$E$64)/SUMIF($A$7:$A$64,1,$D$7:$D$64)</f>
        <v>139232.32088888885</v>
      </c>
      <c r="J7" s="55"/>
    </row>
    <row r="8" spans="1:10" x14ac:dyDescent="0.35">
      <c r="A8" s="194">
        <v>1</v>
      </c>
      <c r="B8" s="155" t="s">
        <v>4</v>
      </c>
      <c r="C8" s="80"/>
      <c r="D8" s="193">
        <v>0.99999999999999989</v>
      </c>
      <c r="E8" s="271">
        <v>126000</v>
      </c>
      <c r="G8" s="322"/>
      <c r="H8" s="319"/>
      <c r="I8" s="319"/>
      <c r="J8" s="55"/>
    </row>
    <row r="9" spans="1:10" ht="14.5" customHeight="1" x14ac:dyDescent="0.35">
      <c r="A9" s="194">
        <v>1</v>
      </c>
      <c r="B9" s="155" t="s">
        <v>5</v>
      </c>
      <c r="D9" s="193">
        <v>1</v>
      </c>
      <c r="E9" s="271">
        <v>147120</v>
      </c>
      <c r="G9" s="322">
        <v>2</v>
      </c>
      <c r="H9" s="319">
        <f>AVERAGEIF($A$7:$A$64,2,$E$7:$E$64)</f>
        <v>205599.94433590909</v>
      </c>
      <c r="I9" s="319">
        <f>SUMIF($A$7:$A$64,2,$E$7:$E$64)/SUMIF($A$7:$A$64,2,$D$7:$D$64)</f>
        <v>205599.94433590909</v>
      </c>
      <c r="J9" s="55"/>
    </row>
    <row r="10" spans="1:10" ht="14.5" customHeight="1" x14ac:dyDescent="0.35">
      <c r="A10" s="194">
        <v>2</v>
      </c>
      <c r="B10" s="155" t="s">
        <v>19</v>
      </c>
      <c r="D10" s="193">
        <v>1</v>
      </c>
      <c r="E10" s="271">
        <v>201505</v>
      </c>
      <c r="G10" s="322"/>
      <c r="H10" s="319"/>
      <c r="I10" s="319"/>
      <c r="J10" s="55"/>
    </row>
    <row r="11" spans="1:10" ht="14.5" customHeight="1" x14ac:dyDescent="0.35">
      <c r="A11" s="194">
        <v>1</v>
      </c>
      <c r="B11" s="155" t="s">
        <v>6</v>
      </c>
      <c r="D11" s="193">
        <v>1</v>
      </c>
      <c r="E11" s="271">
        <v>125000</v>
      </c>
      <c r="G11" s="322">
        <v>3</v>
      </c>
      <c r="H11" s="319">
        <f>AVERAGEIF($A$7:$A$64,3,$E$7:$E$64)</f>
        <v>199204.4966372918</v>
      </c>
      <c r="I11" s="319">
        <f>SUMIF($A$7:$A$64,3,$E$7:$E$64)/SUMIF($A$7:$A$64,3,$D$7:$D$64)</f>
        <v>235423.49602589032</v>
      </c>
      <c r="J11" s="55"/>
    </row>
    <row r="12" spans="1:10" ht="14.5" customHeight="1" x14ac:dyDescent="0.35">
      <c r="A12" s="194">
        <v>1</v>
      </c>
      <c r="B12" s="155" t="s">
        <v>7</v>
      </c>
      <c r="C12" s="82"/>
      <c r="D12" s="193">
        <v>1</v>
      </c>
      <c r="E12" s="271">
        <v>128552</v>
      </c>
      <c r="G12" s="322"/>
      <c r="H12" s="319"/>
      <c r="I12" s="319"/>
      <c r="J12" s="55"/>
    </row>
    <row r="13" spans="1:10" ht="14.5" customHeight="1" x14ac:dyDescent="0.35">
      <c r="A13" s="194">
        <v>3</v>
      </c>
      <c r="B13" s="155" t="s">
        <v>41</v>
      </c>
      <c r="D13" s="193">
        <v>1</v>
      </c>
      <c r="E13" s="271">
        <v>251801.34</v>
      </c>
      <c r="G13" s="322">
        <v>4</v>
      </c>
      <c r="H13" s="319">
        <f>AVERAGEIF($A$7:$A$64,4,$E$7:$E$64)</f>
        <v>290847.02558999998</v>
      </c>
      <c r="I13" s="320">
        <f>SUMIF($A$7:$A$64,4,$E$7:$E$64)/SUMIF($A$7:$A$64,4,$D$7:$D$64)</f>
        <v>290847.02558999998</v>
      </c>
      <c r="J13" s="55"/>
    </row>
    <row r="14" spans="1:10" ht="15" customHeight="1" thickBot="1" x14ac:dyDescent="0.4">
      <c r="A14" s="194">
        <v>1</v>
      </c>
      <c r="B14" s="155" t="s">
        <v>8</v>
      </c>
      <c r="D14" s="193">
        <v>1</v>
      </c>
      <c r="E14" s="271">
        <v>139583.33333333299</v>
      </c>
      <c r="G14" s="323"/>
      <c r="H14" s="324"/>
      <c r="I14" s="321"/>
      <c r="J14" s="55"/>
    </row>
    <row r="15" spans="1:10" x14ac:dyDescent="0.35">
      <c r="A15" s="194">
        <v>2</v>
      </c>
      <c r="B15" s="155" t="s">
        <v>20</v>
      </c>
      <c r="D15" s="193">
        <v>1</v>
      </c>
      <c r="E15" s="271">
        <v>221858</v>
      </c>
      <c r="G15" s="111"/>
      <c r="H15" s="111"/>
      <c r="I15" s="227"/>
    </row>
    <row r="16" spans="1:10" x14ac:dyDescent="0.35">
      <c r="A16" s="194">
        <v>3</v>
      </c>
      <c r="B16" s="155" t="s">
        <v>42</v>
      </c>
      <c r="D16" s="193">
        <v>0</v>
      </c>
      <c r="E16" s="271">
        <v>0</v>
      </c>
      <c r="I16" s="227"/>
    </row>
    <row r="17" spans="1:9" x14ac:dyDescent="0.35">
      <c r="A17" s="194">
        <v>1</v>
      </c>
      <c r="B17" s="155" t="s">
        <v>9</v>
      </c>
      <c r="D17" s="193">
        <v>1</v>
      </c>
      <c r="E17" s="271">
        <v>120000</v>
      </c>
      <c r="I17" s="227"/>
    </row>
    <row r="18" spans="1:9" x14ac:dyDescent="0.35">
      <c r="A18" s="194">
        <v>2</v>
      </c>
      <c r="B18" s="155" t="s">
        <v>21</v>
      </c>
      <c r="C18" s="82"/>
      <c r="D18" s="193">
        <v>1</v>
      </c>
      <c r="E18" s="271">
        <v>222022.06</v>
      </c>
      <c r="I18" s="227"/>
    </row>
    <row r="19" spans="1:9" x14ac:dyDescent="0.35">
      <c r="A19" s="194">
        <v>2</v>
      </c>
      <c r="B19" s="155" t="s">
        <v>22</v>
      </c>
      <c r="D19" s="193">
        <v>1</v>
      </c>
      <c r="E19" s="271">
        <v>194756.54</v>
      </c>
      <c r="I19" s="227"/>
    </row>
    <row r="20" spans="1:9" x14ac:dyDescent="0.35">
      <c r="A20" s="194">
        <v>1</v>
      </c>
      <c r="B20" s="155" t="s">
        <v>10</v>
      </c>
      <c r="D20" s="193">
        <v>1</v>
      </c>
      <c r="E20" s="271">
        <v>165000</v>
      </c>
      <c r="I20" s="227"/>
    </row>
    <row r="21" spans="1:9" x14ac:dyDescent="0.35">
      <c r="A21" s="194">
        <v>3</v>
      </c>
      <c r="B21" s="155" t="s">
        <v>43</v>
      </c>
      <c r="D21" s="193">
        <v>1</v>
      </c>
      <c r="E21" s="271">
        <v>225153.22205479399</v>
      </c>
      <c r="I21" s="227"/>
    </row>
    <row r="22" spans="1:9" x14ac:dyDescent="0.35">
      <c r="A22" s="194">
        <v>2</v>
      </c>
      <c r="B22" s="155" t="s">
        <v>23</v>
      </c>
      <c r="D22" s="193">
        <v>1</v>
      </c>
      <c r="E22" s="271">
        <v>192615.64</v>
      </c>
      <c r="I22" s="227"/>
    </row>
    <row r="23" spans="1:9" x14ac:dyDescent="0.35">
      <c r="A23" s="194">
        <v>2</v>
      </c>
      <c r="B23" s="155" t="s">
        <v>24</v>
      </c>
      <c r="D23" s="193">
        <v>1</v>
      </c>
      <c r="E23" s="271">
        <v>219861</v>
      </c>
      <c r="I23" s="227"/>
    </row>
    <row r="24" spans="1:9" x14ac:dyDescent="0.35">
      <c r="A24" s="194">
        <v>1</v>
      </c>
      <c r="B24" s="155" t="s">
        <v>11</v>
      </c>
      <c r="D24" s="193">
        <v>1</v>
      </c>
      <c r="E24" s="271">
        <v>134561.35999999999</v>
      </c>
      <c r="I24" s="227"/>
    </row>
    <row r="25" spans="1:9" x14ac:dyDescent="0.35">
      <c r="A25" s="194">
        <v>4</v>
      </c>
      <c r="B25" s="155" t="s">
        <v>54</v>
      </c>
      <c r="D25" s="193">
        <v>1</v>
      </c>
      <c r="E25" s="271">
        <v>372338.88</v>
      </c>
      <c r="I25" s="227"/>
    </row>
    <row r="26" spans="1:9" x14ac:dyDescent="0.35">
      <c r="A26" s="194">
        <v>2</v>
      </c>
      <c r="B26" s="155" t="s">
        <v>25</v>
      </c>
      <c r="D26" s="193">
        <v>1</v>
      </c>
      <c r="E26" s="271">
        <v>188597.1</v>
      </c>
      <c r="I26" s="227"/>
    </row>
    <row r="27" spans="1:9" x14ac:dyDescent="0.35">
      <c r="A27" s="194">
        <v>2</v>
      </c>
      <c r="B27" s="155" t="s">
        <v>26</v>
      </c>
      <c r="D27" s="193">
        <v>1</v>
      </c>
      <c r="E27" s="271">
        <v>215000</v>
      </c>
      <c r="I27" s="227"/>
    </row>
    <row r="28" spans="1:9" x14ac:dyDescent="0.35">
      <c r="A28" s="194">
        <v>1</v>
      </c>
      <c r="B28" s="155" t="s">
        <v>12</v>
      </c>
      <c r="D28" s="193">
        <v>1</v>
      </c>
      <c r="E28" s="271">
        <v>128773</v>
      </c>
      <c r="I28" s="227"/>
    </row>
    <row r="29" spans="1:9" x14ac:dyDescent="0.35">
      <c r="A29" s="194">
        <v>2</v>
      </c>
      <c r="B29" s="155" t="s">
        <v>27</v>
      </c>
      <c r="D29" s="193">
        <v>1</v>
      </c>
      <c r="E29" s="271">
        <v>224640</v>
      </c>
      <c r="I29" s="227"/>
    </row>
    <row r="30" spans="1:9" x14ac:dyDescent="0.35">
      <c r="A30" s="194">
        <v>2</v>
      </c>
      <c r="B30" s="155" t="s">
        <v>28</v>
      </c>
      <c r="D30" s="193">
        <v>1</v>
      </c>
      <c r="E30" s="271">
        <v>158350.66</v>
      </c>
      <c r="I30" s="227"/>
    </row>
    <row r="31" spans="1:9" x14ac:dyDescent="0.35">
      <c r="A31" s="194">
        <v>1</v>
      </c>
      <c r="B31" s="155" t="s">
        <v>13</v>
      </c>
      <c r="D31" s="193">
        <v>1</v>
      </c>
      <c r="E31" s="271">
        <v>116850</v>
      </c>
      <c r="I31" s="227"/>
    </row>
    <row r="32" spans="1:9" x14ac:dyDescent="0.35">
      <c r="A32" s="194">
        <v>1</v>
      </c>
      <c r="B32" s="155" t="s">
        <v>14</v>
      </c>
      <c r="D32" s="193">
        <v>1</v>
      </c>
      <c r="E32" s="271">
        <v>140228</v>
      </c>
      <c r="I32" s="227"/>
    </row>
    <row r="33" spans="1:9" x14ac:dyDescent="0.35">
      <c r="A33" s="194">
        <v>3</v>
      </c>
      <c r="B33" s="155" t="s">
        <v>44</v>
      </c>
      <c r="D33" s="193">
        <v>1</v>
      </c>
      <c r="E33" s="271">
        <v>216218.11</v>
      </c>
      <c r="I33" s="227"/>
    </row>
    <row r="34" spans="1:9" x14ac:dyDescent="0.35">
      <c r="A34" s="194">
        <v>2</v>
      </c>
      <c r="B34" s="155" t="s">
        <v>29</v>
      </c>
      <c r="D34" s="193">
        <v>1</v>
      </c>
      <c r="E34" s="271">
        <v>213966.4</v>
      </c>
      <c r="I34" s="227"/>
    </row>
    <row r="35" spans="1:9" x14ac:dyDescent="0.35">
      <c r="A35" s="194">
        <v>2</v>
      </c>
      <c r="B35" s="155" t="s">
        <v>30</v>
      </c>
      <c r="D35" s="193">
        <v>1</v>
      </c>
      <c r="E35" s="271">
        <v>194756.25</v>
      </c>
      <c r="I35" s="227"/>
    </row>
    <row r="36" spans="1:9" x14ac:dyDescent="0.35">
      <c r="A36" s="194">
        <v>4</v>
      </c>
      <c r="B36" s="155" t="s">
        <v>55</v>
      </c>
      <c r="D36" s="193">
        <v>1</v>
      </c>
      <c r="E36" s="271">
        <v>292111.2</v>
      </c>
      <c r="I36" s="227"/>
    </row>
    <row r="37" spans="1:9" x14ac:dyDescent="0.35">
      <c r="A37" s="194">
        <v>2</v>
      </c>
      <c r="B37" s="155" t="s">
        <v>31</v>
      </c>
      <c r="D37" s="193">
        <v>1</v>
      </c>
      <c r="E37" s="271">
        <v>251222.39999999999</v>
      </c>
      <c r="I37" s="227"/>
    </row>
    <row r="38" spans="1:9" x14ac:dyDescent="0.35">
      <c r="A38" s="194">
        <v>1</v>
      </c>
      <c r="B38" s="155" t="s">
        <v>15</v>
      </c>
      <c r="D38" s="193">
        <v>1</v>
      </c>
      <c r="E38" s="271">
        <v>139231.79999999999</v>
      </c>
      <c r="I38" s="227"/>
    </row>
    <row r="39" spans="1:9" x14ac:dyDescent="0.35">
      <c r="A39" s="194">
        <v>4</v>
      </c>
      <c r="B39" s="155" t="s">
        <v>56</v>
      </c>
      <c r="D39" s="193">
        <v>1</v>
      </c>
      <c r="E39" s="271">
        <v>268956.96412000002</v>
      </c>
      <c r="I39" s="227"/>
    </row>
    <row r="40" spans="1:9" x14ac:dyDescent="0.35">
      <c r="A40" s="194">
        <v>4</v>
      </c>
      <c r="B40" s="155" t="s">
        <v>57</v>
      </c>
      <c r="D40" s="193">
        <v>1</v>
      </c>
      <c r="E40" s="271">
        <v>261000</v>
      </c>
      <c r="I40" s="227"/>
    </row>
    <row r="41" spans="1:9" x14ac:dyDescent="0.35">
      <c r="A41" s="194">
        <v>1</v>
      </c>
      <c r="B41" s="155" t="s">
        <v>16</v>
      </c>
      <c r="D41" s="193">
        <v>1</v>
      </c>
      <c r="E41" s="271">
        <v>197475.20000000001</v>
      </c>
      <c r="I41" s="227"/>
    </row>
    <row r="42" spans="1:9" x14ac:dyDescent="0.35">
      <c r="A42" s="194">
        <v>4</v>
      </c>
      <c r="B42" s="155" t="s">
        <v>58</v>
      </c>
      <c r="D42" s="193">
        <v>1</v>
      </c>
      <c r="E42" s="271">
        <v>258377.60000000001</v>
      </c>
      <c r="I42" s="227"/>
    </row>
    <row r="43" spans="1:9" x14ac:dyDescent="0.35">
      <c r="A43" s="194">
        <v>4</v>
      </c>
      <c r="B43" s="155" t="s">
        <v>59</v>
      </c>
      <c r="D43" s="193">
        <v>1</v>
      </c>
      <c r="E43" s="271">
        <v>296689.57740000001</v>
      </c>
      <c r="I43" s="227"/>
    </row>
    <row r="44" spans="1:9" x14ac:dyDescent="0.35">
      <c r="A44" s="194">
        <v>3</v>
      </c>
      <c r="B44" s="155" t="s">
        <v>60</v>
      </c>
      <c r="D44" s="193">
        <v>1</v>
      </c>
      <c r="E44" s="271">
        <v>256107.36</v>
      </c>
      <c r="I44" s="227"/>
    </row>
    <row r="45" spans="1:9" x14ac:dyDescent="0.35">
      <c r="A45" s="194">
        <v>3</v>
      </c>
      <c r="B45" s="155" t="s">
        <v>45</v>
      </c>
      <c r="D45" s="193">
        <v>1</v>
      </c>
      <c r="E45" s="271">
        <v>238934.42</v>
      </c>
      <c r="I45" s="227"/>
    </row>
    <row r="46" spans="1:9" x14ac:dyDescent="0.35">
      <c r="A46" s="194">
        <v>2</v>
      </c>
      <c r="B46" s="155" t="s">
        <v>32</v>
      </c>
      <c r="D46" s="193">
        <v>1</v>
      </c>
      <c r="E46" s="271">
        <v>229808</v>
      </c>
      <c r="I46" s="227"/>
    </row>
    <row r="47" spans="1:9" x14ac:dyDescent="0.35">
      <c r="A47" s="194">
        <v>3</v>
      </c>
      <c r="B47" s="155" t="s">
        <v>46</v>
      </c>
      <c r="D47" s="193">
        <v>1</v>
      </c>
      <c r="E47" s="271">
        <v>255590.39999999999</v>
      </c>
      <c r="I47" s="227"/>
    </row>
    <row r="48" spans="1:9" x14ac:dyDescent="0.35">
      <c r="A48" s="194">
        <v>3</v>
      </c>
      <c r="B48" s="155" t="s">
        <v>47</v>
      </c>
      <c r="D48" s="193">
        <v>1</v>
      </c>
      <c r="E48" s="271">
        <v>219611.6</v>
      </c>
      <c r="I48" s="227"/>
    </row>
    <row r="49" spans="1:9" x14ac:dyDescent="0.35">
      <c r="A49" s="194">
        <v>4</v>
      </c>
      <c r="B49" s="155" t="s">
        <v>61</v>
      </c>
      <c r="D49" s="193">
        <v>1</v>
      </c>
      <c r="E49" s="271">
        <v>278044.38319999998</v>
      </c>
      <c r="I49" s="227"/>
    </row>
    <row r="50" spans="1:9" x14ac:dyDescent="0.35">
      <c r="A50" s="194">
        <v>2</v>
      </c>
      <c r="B50" s="155" t="s">
        <v>33</v>
      </c>
      <c r="D50" s="193">
        <v>1</v>
      </c>
      <c r="E50" s="271">
        <v>233267.93539</v>
      </c>
      <c r="I50" s="227"/>
    </row>
    <row r="51" spans="1:9" x14ac:dyDescent="0.35">
      <c r="A51" s="194">
        <v>2</v>
      </c>
      <c r="B51" s="155" t="s">
        <v>34</v>
      </c>
      <c r="D51" s="193">
        <v>1</v>
      </c>
      <c r="E51" s="271">
        <v>195491.92</v>
      </c>
      <c r="I51" s="227"/>
    </row>
    <row r="52" spans="1:9" x14ac:dyDescent="0.35">
      <c r="A52" s="194">
        <v>1</v>
      </c>
      <c r="B52" s="155" t="s">
        <v>17</v>
      </c>
      <c r="D52" s="193">
        <v>1</v>
      </c>
      <c r="E52" s="271">
        <v>139783.20000000001</v>
      </c>
      <c r="I52" s="227"/>
    </row>
    <row r="53" spans="1:9" x14ac:dyDescent="0.35">
      <c r="A53" s="194">
        <v>2</v>
      </c>
      <c r="B53" s="155" t="s">
        <v>35</v>
      </c>
      <c r="D53" s="193">
        <v>1</v>
      </c>
      <c r="E53" s="271">
        <v>176438</v>
      </c>
      <c r="I53" s="227"/>
    </row>
    <row r="54" spans="1:9" x14ac:dyDescent="0.35">
      <c r="A54" s="194">
        <v>3</v>
      </c>
      <c r="B54" s="155" t="s">
        <v>48</v>
      </c>
      <c r="D54" s="193">
        <v>1</v>
      </c>
      <c r="E54" s="271">
        <v>224866.67423</v>
      </c>
      <c r="I54" s="227"/>
    </row>
    <row r="55" spans="1:9" x14ac:dyDescent="0.35">
      <c r="A55" s="194">
        <v>3</v>
      </c>
      <c r="B55" s="155" t="s">
        <v>49</v>
      </c>
      <c r="D55" s="193">
        <v>0</v>
      </c>
      <c r="E55" s="271">
        <v>0</v>
      </c>
      <c r="I55" s="227"/>
    </row>
    <row r="56" spans="1:9" x14ac:dyDescent="0.35">
      <c r="A56" s="194">
        <v>3</v>
      </c>
      <c r="B56" s="155" t="s">
        <v>50</v>
      </c>
      <c r="D56" s="193">
        <v>1</v>
      </c>
      <c r="E56" s="271">
        <v>234078.76</v>
      </c>
      <c r="I56" s="227"/>
    </row>
    <row r="57" spans="1:9" x14ac:dyDescent="0.35">
      <c r="A57" s="194">
        <v>2</v>
      </c>
      <c r="B57" s="155" t="s">
        <v>36</v>
      </c>
      <c r="D57" s="193">
        <v>1</v>
      </c>
      <c r="E57" s="271">
        <v>194912.9</v>
      </c>
      <c r="I57" s="227"/>
    </row>
    <row r="58" spans="1:9" x14ac:dyDescent="0.35">
      <c r="A58" s="194">
        <v>2</v>
      </c>
      <c r="B58" s="155" t="s">
        <v>37</v>
      </c>
      <c r="D58" s="193">
        <v>1</v>
      </c>
      <c r="E58" s="271">
        <v>186204</v>
      </c>
      <c r="I58" s="227"/>
    </row>
    <row r="59" spans="1:9" x14ac:dyDescent="0.35">
      <c r="A59" s="194">
        <v>1</v>
      </c>
      <c r="B59" s="155" t="s">
        <v>18</v>
      </c>
      <c r="D59" s="193">
        <v>1</v>
      </c>
      <c r="E59" s="271">
        <v>140326.91999999998</v>
      </c>
      <c r="I59" s="227"/>
    </row>
    <row r="60" spans="1:9" x14ac:dyDescent="0.35">
      <c r="A60" s="194">
        <v>3</v>
      </c>
      <c r="B60" s="155" t="s">
        <v>51</v>
      </c>
      <c r="D60" s="193">
        <v>1</v>
      </c>
      <c r="E60" s="271">
        <v>222497.28</v>
      </c>
      <c r="I60" s="227"/>
    </row>
    <row r="61" spans="1:9" x14ac:dyDescent="0.35">
      <c r="A61" s="194">
        <v>2</v>
      </c>
      <c r="B61" s="155" t="s">
        <v>38</v>
      </c>
      <c r="D61" s="193">
        <v>1</v>
      </c>
      <c r="E61" s="271">
        <v>172000</v>
      </c>
      <c r="I61" s="227"/>
    </row>
    <row r="62" spans="1:9" x14ac:dyDescent="0.35">
      <c r="A62" s="194">
        <v>3</v>
      </c>
      <c r="B62" s="155" t="s">
        <v>52</v>
      </c>
      <c r="D62" s="193">
        <v>1</v>
      </c>
      <c r="E62" s="271">
        <v>244799.29</v>
      </c>
      <c r="I62" s="227"/>
    </row>
    <row r="63" spans="1:9" x14ac:dyDescent="0.35">
      <c r="A63" s="194">
        <v>2</v>
      </c>
      <c r="B63" s="155" t="s">
        <v>39</v>
      </c>
      <c r="D63" s="193">
        <v>1</v>
      </c>
      <c r="E63" s="271">
        <v>241168.72</v>
      </c>
      <c r="I63" s="227"/>
    </row>
    <row r="64" spans="1:9" x14ac:dyDescent="0.35">
      <c r="A64" s="194">
        <v>2</v>
      </c>
      <c r="B64" s="155" t="s">
        <v>40</v>
      </c>
      <c r="D64" s="193">
        <v>1</v>
      </c>
      <c r="E64" s="271">
        <v>194756.25</v>
      </c>
      <c r="I64" s="227"/>
    </row>
    <row r="65" spans="1:5" x14ac:dyDescent="0.35">
      <c r="A65" s="192"/>
      <c r="B65" s="97" t="s">
        <v>171</v>
      </c>
      <c r="D65" s="262">
        <f>SUM(D7:D64)</f>
        <v>56</v>
      </c>
      <c r="E65" s="273">
        <f>SUM(E7:E64)</f>
        <v>11528118.249728125</v>
      </c>
    </row>
    <row r="66" spans="1:5" x14ac:dyDescent="0.35">
      <c r="D66" s="191">
        <v>58</v>
      </c>
      <c r="E66" s="263"/>
    </row>
    <row r="67" spans="1:5" x14ac:dyDescent="0.35">
      <c r="D67" s="263">
        <f>D65-D66</f>
        <v>-2</v>
      </c>
      <c r="E67" s="263"/>
    </row>
  </sheetData>
  <mergeCells count="18">
    <mergeCell ref="G7:G8"/>
    <mergeCell ref="H7:H8"/>
    <mergeCell ref="D4:E4"/>
    <mergeCell ref="A5:A6"/>
    <mergeCell ref="B5:B6"/>
    <mergeCell ref="G5:G6"/>
    <mergeCell ref="H5:H6"/>
    <mergeCell ref="G9:G10"/>
    <mergeCell ref="H9:H10"/>
    <mergeCell ref="G11:G12"/>
    <mergeCell ref="H11:H12"/>
    <mergeCell ref="G13:G14"/>
    <mergeCell ref="H13:H14"/>
    <mergeCell ref="I5:I6"/>
    <mergeCell ref="I7:I8"/>
    <mergeCell ref="I9:I10"/>
    <mergeCell ref="I11:I12"/>
    <mergeCell ref="I13:I14"/>
  </mergeCells>
  <printOptions horizontalCentered="1"/>
  <pageMargins left="0.5" right="0.5" top="0.5" bottom="0.5" header="0.3" footer="0.3"/>
  <pageSetup scale="72"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FD8300DC37D47B8430E3AA1B8E692" ma:contentTypeVersion="13" ma:contentTypeDescription="Create a new document." ma:contentTypeScope="" ma:versionID="178564b790fecd8beb310bef3b120df8">
  <xsd:schema xmlns:xsd="http://www.w3.org/2001/XMLSchema" xmlns:xs="http://www.w3.org/2001/XMLSchema" xmlns:p="http://schemas.microsoft.com/office/2006/metadata/properties" xmlns:ns2="333a5d52-b956-467d-b85f-dd40b49e21b1" xmlns:ns3="414d6244-1c89-464f-8b51-cc4a1c1a2751" targetNamespace="http://schemas.microsoft.com/office/2006/metadata/properties" ma:root="true" ma:fieldsID="ef39cf34ce43716b325872acbacf66c5" ns2:_="" ns3:_="">
    <xsd:import namespace="333a5d52-b956-467d-b85f-dd40b49e21b1"/>
    <xsd:import namespace="414d6244-1c89-464f-8b51-cc4a1c1a27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PlannerLink" minOccurs="0"/>
                <xsd:element ref="ns2:Link" minOccurs="0"/>
                <xsd:element ref="ns2:Court" minOccurs="0"/>
                <xsd:element ref="ns2:_x0037_AFile"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a5d52-b956-467d-b85f-dd40b49e2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PlannerLink" ma:index="13" nillable="true" ma:displayName="Planner Link" ma:format="Hyperlink" ma:internalName="PlannerLink">
      <xsd:complexType>
        <xsd:complexContent>
          <xsd:extension base="dms:URL">
            <xsd:sequence>
              <xsd:element name="Url" type="dms:ValidUrl" minOccurs="0" nillable="true"/>
              <xsd:element name="Description" type="xsd:string" nillable="true"/>
            </xsd:sequence>
          </xsd:extension>
        </xsd:complexContent>
      </xsd:complex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Court" ma:index="15" nillable="true" ma:displayName="Court" ma:format="Dropdown" ma:internalName="Court">
      <xsd:simpleType>
        <xsd:restriction base="dms:Text">
          <xsd:maxLength value="255"/>
        </xsd:restriction>
      </xsd:simpleType>
    </xsd:element>
    <xsd:element name="_x0037_AFile" ma:index="16" nillable="true" ma:displayName="7AFile" ma:list="{333a5d52-b956-467d-b85f-dd40b49e21b1}" ma:internalName="_x0037_AFile" ma:showField="Modified">
      <xsd:simpleType>
        <xsd:restriction base="dms:Lookup"/>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4d6244-1c89-464f-8b51-cc4a1c1a27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lannerLink xmlns="333a5d52-b956-467d-b85f-dd40b49e21b1">
      <Url xsi:nil="true"/>
      <Description xsi:nil="true"/>
    </PlannerLink>
    <Court xmlns="333a5d52-b956-467d-b85f-dd40b49e21b1" xsi:nil="true"/>
    <Link xmlns="333a5d52-b956-467d-b85f-dd40b49e21b1">
      <Url xsi:nil="true"/>
      <Description xsi:nil="true"/>
    </Link>
    <_x0037_AFile xmlns="333a5d52-b956-467d-b85f-dd40b49e21b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FD3CD-2862-417B-B796-B751F1645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a5d52-b956-467d-b85f-dd40b49e21b1"/>
    <ds:schemaRef ds:uri="414d6244-1c89-464f-8b51-cc4a1c1a2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1A3642-642A-412D-A925-F47AD2558121}">
  <ds:schemaRef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414d6244-1c89-464f-8b51-cc4a1c1a2751"/>
    <ds:schemaRef ds:uri="333a5d52-b956-467d-b85f-dd40b49e21b1"/>
  </ds:schemaRefs>
</ds:datastoreItem>
</file>

<file path=customXml/itemProps3.xml><?xml version="1.0" encoding="utf-8"?>
<ds:datastoreItem xmlns:ds="http://schemas.openxmlformats.org/officeDocument/2006/customXml" ds:itemID="{2D691F97-4EBE-4526-A677-F34C57AF4F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README</vt:lpstr>
      <vt:lpstr>WF Need</vt:lpstr>
      <vt:lpstr>BLS</vt:lpstr>
      <vt:lpstr>RAS</vt:lpstr>
      <vt:lpstr>AVG RAS salary</vt:lpstr>
      <vt:lpstr>FTE Allotment Factor</vt:lpstr>
      <vt:lpstr>Program 10</vt:lpstr>
      <vt:lpstr>Program 90</vt:lpstr>
      <vt:lpstr>CEO Salary</vt:lpstr>
      <vt:lpstr>OE&amp;E by Cluster</vt:lpstr>
      <vt:lpstr>AB1058</vt:lpstr>
      <vt:lpstr>Floor Adjustment</vt:lpstr>
      <vt:lpstr>Floors</vt:lpstr>
      <vt:lpstr>SUMMARY</vt:lpstr>
      <vt:lpstr>RAS!_GoBack</vt:lpstr>
      <vt:lpstr>'AVG RAS salary'!Print_Area</vt:lpstr>
      <vt:lpstr>BLS!Print_Area</vt:lpstr>
      <vt:lpstr>'Floor Adjustment'!Print_Area</vt:lpstr>
      <vt:lpstr>Floors!Print_Area</vt:lpstr>
      <vt:lpstr>'FTE Allotment Factor'!Print_Area</vt:lpstr>
      <vt:lpstr>RAS!Print_Area</vt:lpstr>
      <vt:lpstr>'Floor Adjustment'!Print_Titles</vt:lpstr>
      <vt:lpstr>'FTE Allotment Factor'!Print_Titles</vt:lpstr>
      <vt:lpstr>'WF Need'!Print_Titles</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DMacLeod</dc:creator>
  <cp:lastModifiedBy>Armstrong, Nicholas</cp:lastModifiedBy>
  <cp:lastPrinted>2018-05-30T16:39:51Z</cp:lastPrinted>
  <dcterms:created xsi:type="dcterms:W3CDTF">2012-06-26T18:06:24Z</dcterms:created>
  <dcterms:modified xsi:type="dcterms:W3CDTF">2023-04-13T22:23:22Z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0x010100118FD8300DC37D47B8430E3AA1B8E692</vt:lpwstr>
  </property>
</Properties>
</file>